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https://michiganstate-my.sharepoint.com/personal/laportej_msu_edu/Documents/Documents/Farm Management Files/Budgets &amp; Tools/Crop Budgets/Estimating Tool (Forages)/"/>
    </mc:Choice>
  </mc:AlternateContent>
  <xr:revisionPtr revIDLastSave="276" documentId="8_{7B3B8353-F1DE-4733-98D4-42CB21D3F652}" xr6:coauthVersionLast="47" xr6:coauthVersionMax="47" xr10:uidLastSave="{AD6E0FEE-287C-4848-8330-0F03F22AA103}"/>
  <workbookProtection workbookAlgorithmName="SHA-512" workbookHashValue="L5AIND/Z7GOTjtv8Rv/OVqP1THEkAzf2zJt3lQmlDos2V+02THmAIiGD4s6nmp1S4jLPawuOwsEWwUvF+KX2mg==" workbookSaltValue="ixUDQmQYQIm/m4G1KC0CZQ==" workbookSpinCount="100000" lockStructure="1"/>
  <bookViews>
    <workbookView xWindow="28680" yWindow="-120" windowWidth="29040" windowHeight="15840" tabRatio="947" xr2:uid="{00000000-000D-0000-FFFF-FFFF00000000}"/>
  </bookViews>
  <sheets>
    <sheet name="Instructions" sheetId="16" r:id="rId1"/>
    <sheet name="Crop Budget (Main)" sheetId="1" r:id="rId2"/>
    <sheet name="Variable &amp; Fixed" sheetId="6" r:id="rId3"/>
    <sheet name="Chart" sheetId="23" state="hidden" r:id="rId4"/>
    <sheet name="Chemical Plan" sheetId="8" r:id="rId5"/>
    <sheet name="Chemical List (Wheat)" sheetId="22" state="hidden" r:id="rId6"/>
    <sheet name="Adjuvant Help Guide" sheetId="17" r:id="rId7"/>
    <sheet name="Nutrient Management" sheetId="28" r:id="rId8"/>
    <sheet name="Manure and Nutrient Credits" sheetId="27" state="hidden" r:id="rId9"/>
    <sheet name="Fertilizer Products &amp; Pricing" sheetId="3" r:id="rId10"/>
    <sheet name="Fertilizer Plan" sheetId="9" r:id="rId11"/>
    <sheet name="Loans &amp; Financing" sheetId="2" r:id="rId12"/>
    <sheet name="Capital &amp; Management" sheetId="19" r:id="rId13"/>
    <sheet name="Gov't Payments" sheetId="20" r:id="rId14"/>
    <sheet name="Optimization" sheetId="24" r:id="rId15"/>
    <sheet name="Chemical List (Alfalfa)" sheetId="21" r:id="rId16"/>
    <sheet name="Chemical List (Grass)" sheetId="4" r:id="rId17"/>
  </sheets>
  <externalReferences>
    <externalReference r:id="rId18"/>
    <externalReference r:id="rId19"/>
    <externalReference r:id="rId20"/>
  </externalReferences>
  <definedNames>
    <definedName name="Chemicals">'Chemical List (Grass)'!$A$1:$A$94</definedName>
    <definedName name="CornAdjuvants" localSheetId="7">#REF!</definedName>
    <definedName name="CornAdjuvants">'[1]Chemical List (Corn)'!$A$103:$D$113</definedName>
    <definedName name="CornFungicides" localSheetId="7">#REF!</definedName>
    <definedName name="CornFungicides">'[1]Chemical List (Corn)'!$A$118:$D$137</definedName>
    <definedName name="CornInsecticides" localSheetId="7">#REF!</definedName>
    <definedName name="CornInsecticides">'[1]Chemical List (Corn)'!$A$148:$D$194</definedName>
    <definedName name="CornPostChemicals" localSheetId="7">#REF!</definedName>
    <definedName name="CornPostChemicals">'[1]Chemical List (Corn)'!$A$55:$F$99</definedName>
    <definedName name="CornPreChemicals" localSheetId="7">#REF!</definedName>
    <definedName name="CornPreChemicals">'[1]Chemical List (Corn)'!$A$4:$F$52</definedName>
    <definedName name="Foliars" localSheetId="7">#REF!</definedName>
    <definedName name="Foliars">'Chemical List (Grass)'!$A$114:$A$121</definedName>
    <definedName name="Fungicides">'Chemical List (Grass)'!$A$99:$A$110</definedName>
    <definedName name="Lime" localSheetId="7">'[2]Fertilizer Products &amp; Pricing'!$A$60:$O$68</definedName>
    <definedName name="Lime">'Fertilizer Products &amp; Pricing'!$A$55:$A$64</definedName>
    <definedName name="Macronutrients" localSheetId="7">'[2]Fertilizer Products &amp; Pricing'!$A$4:$O$39</definedName>
    <definedName name="Macronutrients">'Fertilizer Products &amp; Pricing'!$A$4:$A$18</definedName>
    <definedName name="Micronutrients" localSheetId="7">'[2]Fertilizer Products &amp; Pricing'!$A$43:$O$56</definedName>
    <definedName name="Micronutrients">'Fertilizer Products &amp; Pricing'!$A$38:$A$52</definedName>
    <definedName name="Moisture">'[3]Grain Handling'!$C$51:$C$66</definedName>
    <definedName name="NitrogenStabilizers" localSheetId="7">'[2]Fertilizer Products &amp; Pricing'!$A$72:$O$81</definedName>
    <definedName name="NitrogenStabilizers">'Fertilizer Products &amp; Pricing'!$A$67:$A$77</definedName>
    <definedName name="_xlnm.Print_Area" localSheetId="12">'Capital &amp; Management'!$A$1:$H$53</definedName>
    <definedName name="_xlnm.Print_Area" localSheetId="4">'Chemical Plan'!$A$1:$H$69,'Chemical Plan'!$K$1:$R$69,'Chemical Plan'!$U$1:$AB$69</definedName>
    <definedName name="_xlnm.Print_Area" localSheetId="1">'Crop Budget (Main)'!$A$1:$M$202</definedName>
    <definedName name="_xlnm.Print_Area" localSheetId="10">'Fertilizer Plan'!$A$1:$K$82,'Fertilizer Plan'!$M$1:$W$82,'Fertilizer Plan'!$Y$1:$AI$82</definedName>
    <definedName name="_xlnm.Print_Area" localSheetId="9">'Fertilizer Products &amp; Pricing'!$A$1:$W$57</definedName>
    <definedName name="_xlnm.Print_Area" localSheetId="0">Instructions!$A$1:$R$45</definedName>
    <definedName name="_xlnm.Print_Area" localSheetId="11">'Loans &amp; Financing'!$B$1:$J$43,'Loans &amp; Financing'!$L$5:$V$15</definedName>
    <definedName name="_xlnm.Print_Area" localSheetId="7">'Nutrient Management'!$B$1:$L$73</definedName>
    <definedName name="SoybeanFungicides" localSheetId="7">#REF!</definedName>
    <definedName name="SoybeanFungicides">'[1]Chemical List (Soys)'!$A$98:$D$119</definedName>
    <definedName name="SoybeanInsecticides" localSheetId="7">#REF!</definedName>
    <definedName name="SoybeanInsecticides">'[1]Chemical List (Soys)'!$A$130:$D$172</definedName>
    <definedName name="SoybeanPostChemicals" localSheetId="7">#REF!</definedName>
    <definedName name="SoybeanPostChemicals">'[1]Chemical List (Soys)'!$A$57:$F$94</definedName>
    <definedName name="SoybeanPreChemicals" localSheetId="7">#REF!</definedName>
    <definedName name="SoybeanPreChemicals">'[1]Chemical List (Soys)'!$A$4:$F$54</definedName>
    <definedName name="WheatChemicals" localSheetId="7">#REF!</definedName>
    <definedName name="WheatChemicals">'[1]Chemical List (Wheat)'!$A$4:$F$31</definedName>
    <definedName name="WheatFungicides" localSheetId="7">#REF!</definedName>
    <definedName name="WheatFungicides">'[1]Chemical List (Wheat)'!$A$36:$D$57</definedName>
    <definedName name="WheatInsecticides" localSheetId="7">#REF!</definedName>
    <definedName name="WheatInsecticides">'[1]Chemical List (Wheat)'!$A$68:$D$83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3" l="1"/>
  <c r="C24" i="3"/>
  <c r="D24" i="3"/>
  <c r="M29" i="1"/>
  <c r="I29" i="1"/>
  <c r="E29" i="1"/>
  <c r="Q33" i="8"/>
  <c r="Q46" i="8"/>
  <c r="Q57" i="8"/>
  <c r="Y61" i="8"/>
  <c r="AB61" i="8"/>
  <c r="AA61" i="8"/>
  <c r="W61" i="8"/>
  <c r="Y60" i="8"/>
  <c r="AB60" i="8"/>
  <c r="AA60" i="8"/>
  <c r="W60" i="8"/>
  <c r="Y59" i="8"/>
  <c r="AB59" i="8"/>
  <c r="AA59" i="8"/>
  <c r="W59" i="8"/>
  <c r="Y58" i="8"/>
  <c r="AB58" i="8"/>
  <c r="AA58" i="8"/>
  <c r="W58" i="8"/>
  <c r="AA57" i="8"/>
  <c r="Y57" i="8"/>
  <c r="W57" i="8"/>
  <c r="Y50" i="8"/>
  <c r="AB50" i="8"/>
  <c r="AA50" i="8"/>
  <c r="W50" i="8"/>
  <c r="Y49" i="8"/>
  <c r="AB49" i="8"/>
  <c r="AA49" i="8"/>
  <c r="W49" i="8"/>
  <c r="Y48" i="8"/>
  <c r="AB48" i="8"/>
  <c r="AA48" i="8"/>
  <c r="W48" i="8"/>
  <c r="Y47" i="8"/>
  <c r="AB47" i="8"/>
  <c r="AA47" i="8"/>
  <c r="W47" i="8"/>
  <c r="AA46" i="8"/>
  <c r="Y46" i="8"/>
  <c r="W46" i="8"/>
  <c r="Y37" i="8"/>
  <c r="AB37" i="8"/>
  <c r="AA37" i="8"/>
  <c r="W37" i="8"/>
  <c r="Y36" i="8"/>
  <c r="AB36" i="8"/>
  <c r="AA36" i="8"/>
  <c r="W36" i="8"/>
  <c r="Y35" i="8"/>
  <c r="AB35" i="8"/>
  <c r="AA35" i="8"/>
  <c r="W35" i="8"/>
  <c r="Y34" i="8"/>
  <c r="AB34" i="8"/>
  <c r="AA34" i="8"/>
  <c r="W34" i="8"/>
  <c r="Y33" i="8"/>
  <c r="AB33" i="8"/>
  <c r="AA33" i="8"/>
  <c r="W33" i="8"/>
  <c r="AA29" i="8"/>
  <c r="Y29" i="8"/>
  <c r="W29" i="8"/>
  <c r="V29" i="8"/>
  <c r="AA28" i="8"/>
  <c r="Y28" i="8"/>
  <c r="W28" i="8"/>
  <c r="V28" i="8"/>
  <c r="AA27" i="8"/>
  <c r="Y27" i="8"/>
  <c r="W27" i="8"/>
  <c r="V27" i="8"/>
  <c r="AA26" i="8"/>
  <c r="Y26" i="8"/>
  <c r="W26" i="8"/>
  <c r="V26" i="8"/>
  <c r="AA25" i="8"/>
  <c r="Y25" i="8"/>
  <c r="W25" i="8"/>
  <c r="V25" i="8"/>
  <c r="W14" i="8"/>
  <c r="Y14" i="8"/>
  <c r="AA14" i="8"/>
  <c r="W15" i="8"/>
  <c r="Y15" i="8"/>
  <c r="AA15" i="8"/>
  <c r="W16" i="8"/>
  <c r="Y16" i="8"/>
  <c r="AA16" i="8"/>
  <c r="W17" i="8"/>
  <c r="Y17" i="8"/>
  <c r="AA17" i="8"/>
  <c r="AA13" i="8"/>
  <c r="Y13" i="8"/>
  <c r="W13" i="8"/>
  <c r="V7" i="8"/>
  <c r="W7" i="8"/>
  <c r="Y7" i="8"/>
  <c r="AA7" i="8"/>
  <c r="V8" i="8"/>
  <c r="W8" i="8"/>
  <c r="Y8" i="8"/>
  <c r="AA8" i="8"/>
  <c r="V9" i="8"/>
  <c r="W9" i="8"/>
  <c r="Y9" i="8"/>
  <c r="AA9" i="8"/>
  <c r="V10" i="8"/>
  <c r="W10" i="8"/>
  <c r="Y10" i="8"/>
  <c r="AA10" i="8"/>
  <c r="AB6" i="8"/>
  <c r="AA6" i="8"/>
  <c r="W6" i="8"/>
  <c r="Y6" i="8"/>
  <c r="V6" i="8"/>
  <c r="AB7" i="8"/>
  <c r="AB8" i="8"/>
  <c r="AB9" i="8"/>
  <c r="AB10" i="8"/>
  <c r="AB13" i="8"/>
  <c r="AB14" i="8"/>
  <c r="AB15" i="8"/>
  <c r="AB16" i="8"/>
  <c r="AB17" i="8"/>
  <c r="L6" i="8"/>
  <c r="P20" i="6"/>
  <c r="R20" i="6"/>
  <c r="P21" i="6"/>
  <c r="R21" i="6"/>
  <c r="J20" i="6"/>
  <c r="L20" i="6"/>
  <c r="J21" i="6"/>
  <c r="L21" i="6"/>
  <c r="E20" i="6"/>
  <c r="G20" i="6"/>
  <c r="E21" i="6"/>
  <c r="G21" i="6"/>
  <c r="G6" i="28"/>
  <c r="F23" i="28"/>
  <c r="G23" i="28"/>
  <c r="K6" i="28"/>
  <c r="J25" i="28"/>
  <c r="F25" i="28"/>
  <c r="C6" i="28"/>
  <c r="B25" i="28"/>
  <c r="L23" i="28"/>
  <c r="K23" i="28"/>
  <c r="J23" i="28"/>
  <c r="H23" i="28"/>
  <c r="D23" i="28"/>
  <c r="C23" i="28"/>
  <c r="M132" i="1"/>
  <c r="L132" i="1"/>
  <c r="K132" i="1"/>
  <c r="I132" i="1"/>
  <c r="H132" i="1"/>
  <c r="G132" i="1"/>
  <c r="E132" i="1"/>
  <c r="D132" i="1"/>
  <c r="C132" i="1"/>
  <c r="L67" i="28"/>
  <c r="L68" i="28"/>
  <c r="M130" i="1"/>
  <c r="K67" i="28"/>
  <c r="K68" i="28"/>
  <c r="L130" i="1"/>
  <c r="J67" i="28"/>
  <c r="J68" i="28"/>
  <c r="K130" i="1"/>
  <c r="H67" i="28"/>
  <c r="H68" i="28"/>
  <c r="I130" i="1"/>
  <c r="G67" i="28"/>
  <c r="G68" i="28"/>
  <c r="H130" i="1"/>
  <c r="F67" i="28"/>
  <c r="F68" i="28"/>
  <c r="G130" i="1"/>
  <c r="D67" i="28"/>
  <c r="D68" i="28"/>
  <c r="E130" i="1"/>
  <c r="C67" i="28"/>
  <c r="C68" i="28"/>
  <c r="D130" i="1"/>
  <c r="B67" i="28"/>
  <c r="B68" i="28"/>
  <c r="C130" i="1"/>
  <c r="L83" i="28"/>
  <c r="L65" i="28"/>
  <c r="M128" i="1"/>
  <c r="K83" i="28"/>
  <c r="K65" i="28"/>
  <c r="L128" i="1"/>
  <c r="J83" i="28"/>
  <c r="J65" i="28"/>
  <c r="K128" i="1"/>
  <c r="H83" i="28"/>
  <c r="H65" i="28"/>
  <c r="I128" i="1"/>
  <c r="G83" i="28"/>
  <c r="G65" i="28"/>
  <c r="H128" i="1"/>
  <c r="F83" i="28"/>
  <c r="F65" i="28"/>
  <c r="G128" i="1"/>
  <c r="D83" i="28"/>
  <c r="D65" i="28"/>
  <c r="E128" i="1"/>
  <c r="C83" i="28"/>
  <c r="C65" i="28"/>
  <c r="D128" i="1"/>
  <c r="B83" i="28"/>
  <c r="B65" i="28"/>
  <c r="C128" i="1"/>
  <c r="M125" i="1"/>
  <c r="L125" i="1"/>
  <c r="K125" i="1"/>
  <c r="I125" i="1"/>
  <c r="H125" i="1"/>
  <c r="G125" i="1"/>
  <c r="E125" i="1"/>
  <c r="D125" i="1"/>
  <c r="C125" i="1"/>
  <c r="M123" i="1"/>
  <c r="L123" i="1"/>
  <c r="K123" i="1"/>
  <c r="I123" i="1"/>
  <c r="H123" i="1"/>
  <c r="G123" i="1"/>
  <c r="E123" i="1"/>
  <c r="D123" i="1"/>
  <c r="C123" i="1"/>
  <c r="M121" i="1"/>
  <c r="L121" i="1"/>
  <c r="K121" i="1"/>
  <c r="I121" i="1"/>
  <c r="H121" i="1"/>
  <c r="G121" i="1"/>
  <c r="E121" i="1"/>
  <c r="D121" i="1"/>
  <c r="C121" i="1"/>
  <c r="J85" i="28"/>
  <c r="F85" i="28"/>
  <c r="B85" i="28"/>
  <c r="J79" i="28"/>
  <c r="F79" i="28"/>
  <c r="B79" i="28"/>
  <c r="L77" i="28"/>
  <c r="K77" i="28"/>
  <c r="J77" i="28"/>
  <c r="H77" i="28"/>
  <c r="G77" i="28"/>
  <c r="F77" i="28"/>
  <c r="D77" i="28"/>
  <c r="C77" i="28"/>
  <c r="B77" i="28"/>
  <c r="L64" i="28"/>
  <c r="K64" i="28"/>
  <c r="J64" i="28"/>
  <c r="H64" i="28"/>
  <c r="G64" i="28"/>
  <c r="F64" i="28"/>
  <c r="D64" i="28"/>
  <c r="C64" i="28"/>
  <c r="B64" i="28"/>
  <c r="J57" i="28"/>
  <c r="F57" i="28"/>
  <c r="L54" i="28"/>
  <c r="K54" i="28"/>
  <c r="J54" i="28"/>
  <c r="H54" i="28"/>
  <c r="G54" i="28"/>
  <c r="F54" i="28"/>
  <c r="D54" i="28"/>
  <c r="C54" i="28"/>
  <c r="B54" i="28"/>
  <c r="L47" i="28"/>
  <c r="H47" i="28"/>
  <c r="D47" i="28"/>
  <c r="F38" i="27"/>
  <c r="G38" i="27"/>
  <c r="H38" i="27"/>
  <c r="E38" i="27"/>
  <c r="F41" i="27"/>
  <c r="G41" i="27"/>
  <c r="H41" i="27"/>
  <c r="E41" i="27"/>
  <c r="D41" i="27"/>
  <c r="D38" i="27"/>
  <c r="D33" i="27"/>
  <c r="D30" i="27"/>
  <c r="D27" i="27"/>
  <c r="E27" i="27"/>
  <c r="H33" i="27"/>
  <c r="G33" i="27"/>
  <c r="F33" i="27"/>
  <c r="E33" i="27"/>
  <c r="H30" i="27"/>
  <c r="G30" i="27"/>
  <c r="F30" i="27"/>
  <c r="E30" i="27"/>
  <c r="H27" i="27"/>
  <c r="G27" i="27"/>
  <c r="F27" i="27"/>
  <c r="B57" i="28"/>
  <c r="U36" i="3"/>
  <c r="T36" i="3"/>
  <c r="S36" i="3"/>
  <c r="R36" i="3"/>
  <c r="U31" i="3"/>
  <c r="T31" i="3"/>
  <c r="S31" i="3"/>
  <c r="R31" i="3"/>
  <c r="R14" i="28"/>
  <c r="B55" i="28"/>
  <c r="C55" i="28"/>
  <c r="D55" i="28"/>
  <c r="F55" i="28"/>
  <c r="G55" i="28"/>
  <c r="H55" i="28"/>
  <c r="J55" i="28"/>
  <c r="K55" i="28"/>
  <c r="L55" i="28"/>
  <c r="C57" i="28"/>
  <c r="D57" i="28"/>
  <c r="G57" i="28"/>
  <c r="H57" i="28"/>
  <c r="K57" i="28"/>
  <c r="L57" i="28"/>
  <c r="B58" i="28"/>
  <c r="C58" i="28"/>
  <c r="D58" i="28"/>
  <c r="F58" i="28"/>
  <c r="G58" i="28"/>
  <c r="H58" i="28"/>
  <c r="J58" i="28"/>
  <c r="K58" i="28"/>
  <c r="L58" i="28"/>
  <c r="B78" i="28"/>
  <c r="C78" i="28"/>
  <c r="D78" i="28"/>
  <c r="F78" i="28"/>
  <c r="G78" i="28"/>
  <c r="H78" i="28"/>
  <c r="J78" i="28"/>
  <c r="K78" i="28"/>
  <c r="L78" i="28"/>
  <c r="B80" i="28"/>
  <c r="F80" i="28"/>
  <c r="J80" i="28"/>
  <c r="B84" i="28"/>
  <c r="C84" i="28"/>
  <c r="D84" i="28"/>
  <c r="F84" i="28"/>
  <c r="G84" i="28"/>
  <c r="H84" i="28"/>
  <c r="J84" i="28"/>
  <c r="K84" i="28"/>
  <c r="L84" i="28"/>
  <c r="B86" i="28"/>
  <c r="F86" i="28"/>
  <c r="J86" i="28"/>
  <c r="E30" i="3"/>
  <c r="D30" i="3"/>
  <c r="C30" i="3"/>
  <c r="B30" i="3"/>
  <c r="E29" i="3"/>
  <c r="D29" i="3"/>
  <c r="C29" i="3"/>
  <c r="B29" i="3"/>
  <c r="B7" i="8"/>
  <c r="C7" i="8"/>
  <c r="E7" i="8"/>
  <c r="G7" i="8"/>
  <c r="H7" i="8"/>
  <c r="B8" i="8"/>
  <c r="C8" i="8"/>
  <c r="E8" i="8"/>
  <c r="G8" i="8"/>
  <c r="H8" i="8"/>
  <c r="B9" i="8"/>
  <c r="C9" i="8"/>
  <c r="E9" i="8"/>
  <c r="G9" i="8"/>
  <c r="H9" i="8"/>
  <c r="B10" i="8"/>
  <c r="C10" i="8"/>
  <c r="E10" i="8"/>
  <c r="G10" i="8"/>
  <c r="H10" i="8"/>
  <c r="G6" i="8"/>
  <c r="E6" i="8"/>
  <c r="C6" i="8"/>
  <c r="B6" i="8"/>
  <c r="AB68" i="9"/>
  <c r="AA68" i="9"/>
  <c r="AE68" i="9"/>
  <c r="AD68" i="9"/>
  <c r="Z68" i="9"/>
  <c r="AB67" i="9"/>
  <c r="AA67" i="9"/>
  <c r="AE67" i="9"/>
  <c r="AD67" i="9"/>
  <c r="Z67" i="9"/>
  <c r="AB64" i="9"/>
  <c r="AA64" i="9"/>
  <c r="AD64" i="9"/>
  <c r="Z64" i="9"/>
  <c r="AB63" i="9"/>
  <c r="AA63" i="9"/>
  <c r="AD63" i="9"/>
  <c r="Z63" i="9"/>
  <c r="AB62" i="9"/>
  <c r="AA62" i="9"/>
  <c r="AD62" i="9"/>
  <c r="Z62" i="9"/>
  <c r="AB61" i="9"/>
  <c r="AA61" i="9"/>
  <c r="AD61" i="9"/>
  <c r="Z61" i="9"/>
  <c r="AB58" i="9"/>
  <c r="AA58" i="9"/>
  <c r="AD58" i="9"/>
  <c r="Z58" i="9"/>
  <c r="AB57" i="9"/>
  <c r="AA57" i="9"/>
  <c r="AD57" i="9"/>
  <c r="Z57" i="9"/>
  <c r="AB56" i="9"/>
  <c r="AA56" i="9"/>
  <c r="AD56" i="9"/>
  <c r="Z56" i="9"/>
  <c r="AB55" i="9"/>
  <c r="AA55" i="9"/>
  <c r="AD55" i="9"/>
  <c r="Z55" i="9"/>
  <c r="AB54" i="9"/>
  <c r="AA54" i="9"/>
  <c r="AD54" i="9"/>
  <c r="Z54" i="9"/>
  <c r="AB53" i="9"/>
  <c r="AA53" i="9"/>
  <c r="AD53" i="9"/>
  <c r="Z53" i="9"/>
  <c r="AB46" i="9"/>
  <c r="AA46" i="9"/>
  <c r="AE46" i="9"/>
  <c r="AD46" i="9"/>
  <c r="Z46" i="9"/>
  <c r="AB45" i="9"/>
  <c r="AA45" i="9"/>
  <c r="AE45" i="9"/>
  <c r="AD45" i="9"/>
  <c r="Z45" i="9"/>
  <c r="AB42" i="9"/>
  <c r="AA42" i="9"/>
  <c r="AD42" i="9"/>
  <c r="Z42" i="9"/>
  <c r="AB41" i="9"/>
  <c r="AA41" i="9"/>
  <c r="AD41" i="9"/>
  <c r="Z41" i="9"/>
  <c r="AB40" i="9"/>
  <c r="AA40" i="9"/>
  <c r="AD40" i="9"/>
  <c r="Z40" i="9"/>
  <c r="AB39" i="9"/>
  <c r="AA39" i="9"/>
  <c r="AD39" i="9"/>
  <c r="Z39" i="9"/>
  <c r="AB36" i="9"/>
  <c r="AA36" i="9"/>
  <c r="AD36" i="9"/>
  <c r="Z36" i="9"/>
  <c r="AB35" i="9"/>
  <c r="AA35" i="9"/>
  <c r="AD35" i="9"/>
  <c r="Z35" i="9"/>
  <c r="AB34" i="9"/>
  <c r="AA34" i="9"/>
  <c r="AD34" i="9"/>
  <c r="Z34" i="9"/>
  <c r="AB33" i="9"/>
  <c r="AA33" i="9"/>
  <c r="AD33" i="9"/>
  <c r="Z33" i="9"/>
  <c r="AB32" i="9"/>
  <c r="AA32" i="9"/>
  <c r="AD32" i="9"/>
  <c r="Z32" i="9"/>
  <c r="AB31" i="9"/>
  <c r="AA31" i="9"/>
  <c r="AD31" i="9"/>
  <c r="Z31" i="9"/>
  <c r="P68" i="9"/>
  <c r="O68" i="9"/>
  <c r="S68" i="9"/>
  <c r="R68" i="9"/>
  <c r="N68" i="9"/>
  <c r="P67" i="9"/>
  <c r="O67" i="9"/>
  <c r="S67" i="9"/>
  <c r="R67" i="9"/>
  <c r="N67" i="9"/>
  <c r="P64" i="9"/>
  <c r="O64" i="9"/>
  <c r="R64" i="9"/>
  <c r="N64" i="9"/>
  <c r="P63" i="9"/>
  <c r="O63" i="9"/>
  <c r="R63" i="9"/>
  <c r="N63" i="9"/>
  <c r="P62" i="9"/>
  <c r="O62" i="9"/>
  <c r="R62" i="9"/>
  <c r="N62" i="9"/>
  <c r="P61" i="9"/>
  <c r="O61" i="9"/>
  <c r="R61" i="9"/>
  <c r="N61" i="9"/>
  <c r="P58" i="9"/>
  <c r="O58" i="9"/>
  <c r="R58" i="9"/>
  <c r="N58" i="9"/>
  <c r="P57" i="9"/>
  <c r="O57" i="9"/>
  <c r="R57" i="9"/>
  <c r="N57" i="9"/>
  <c r="P56" i="9"/>
  <c r="O56" i="9"/>
  <c r="R56" i="9"/>
  <c r="N56" i="9"/>
  <c r="P55" i="9"/>
  <c r="O55" i="9"/>
  <c r="R55" i="9"/>
  <c r="N55" i="9"/>
  <c r="P54" i="9"/>
  <c r="O54" i="9"/>
  <c r="R54" i="9"/>
  <c r="N54" i="9"/>
  <c r="P53" i="9"/>
  <c r="O53" i="9"/>
  <c r="R53" i="9"/>
  <c r="N53" i="9"/>
  <c r="P46" i="9"/>
  <c r="O46" i="9"/>
  <c r="S46" i="9"/>
  <c r="R46" i="9"/>
  <c r="N46" i="9"/>
  <c r="P45" i="9"/>
  <c r="O45" i="9"/>
  <c r="S45" i="9"/>
  <c r="R45" i="9"/>
  <c r="N45" i="9"/>
  <c r="P42" i="9"/>
  <c r="O42" i="9"/>
  <c r="R42" i="9"/>
  <c r="N42" i="9"/>
  <c r="P41" i="9"/>
  <c r="O41" i="9"/>
  <c r="R41" i="9"/>
  <c r="N41" i="9"/>
  <c r="P40" i="9"/>
  <c r="O40" i="9"/>
  <c r="R40" i="9"/>
  <c r="N40" i="9"/>
  <c r="P39" i="9"/>
  <c r="O39" i="9"/>
  <c r="R39" i="9"/>
  <c r="N39" i="9"/>
  <c r="P36" i="9"/>
  <c r="O36" i="9"/>
  <c r="R36" i="9"/>
  <c r="N36" i="9"/>
  <c r="P35" i="9"/>
  <c r="O35" i="9"/>
  <c r="R35" i="9"/>
  <c r="N35" i="9"/>
  <c r="P34" i="9"/>
  <c r="O34" i="9"/>
  <c r="R34" i="9"/>
  <c r="N34" i="9"/>
  <c r="P33" i="9"/>
  <c r="O33" i="9"/>
  <c r="R33" i="9"/>
  <c r="N33" i="9"/>
  <c r="P32" i="9"/>
  <c r="O32" i="9"/>
  <c r="R32" i="9"/>
  <c r="N32" i="9"/>
  <c r="P31" i="9"/>
  <c r="O31" i="9"/>
  <c r="R31" i="9"/>
  <c r="N31" i="9"/>
  <c r="AB24" i="9"/>
  <c r="AA24" i="9"/>
  <c r="AE24" i="9"/>
  <c r="AD24" i="9"/>
  <c r="Z24" i="9"/>
  <c r="AB23" i="9"/>
  <c r="AA23" i="9"/>
  <c r="AE23" i="9"/>
  <c r="AD23" i="9"/>
  <c r="Z23" i="9"/>
  <c r="AB20" i="9"/>
  <c r="AA20" i="9"/>
  <c r="AE20" i="9"/>
  <c r="AD20" i="9"/>
  <c r="Z20" i="9"/>
  <c r="AB17" i="9"/>
  <c r="AA17" i="9"/>
  <c r="AD17" i="9"/>
  <c r="Z17" i="9"/>
  <c r="AB16" i="9"/>
  <c r="AA16" i="9"/>
  <c r="AD16" i="9"/>
  <c r="Z16" i="9"/>
  <c r="AB15" i="9"/>
  <c r="AA15" i="9"/>
  <c r="AD15" i="9"/>
  <c r="Z15" i="9"/>
  <c r="AB14" i="9"/>
  <c r="AA14" i="9"/>
  <c r="AD14" i="9"/>
  <c r="Z14" i="9"/>
  <c r="AB11" i="9"/>
  <c r="AE11" i="9" s="1"/>
  <c r="AA11" i="9"/>
  <c r="AD11" i="9"/>
  <c r="Z11" i="9"/>
  <c r="AB10" i="9"/>
  <c r="AA10" i="9"/>
  <c r="AD10" i="9"/>
  <c r="Z10" i="9"/>
  <c r="AB9" i="9"/>
  <c r="AA9" i="9"/>
  <c r="AD9" i="9"/>
  <c r="Z9" i="9"/>
  <c r="AB8" i="9"/>
  <c r="AA8" i="9"/>
  <c r="AD8" i="9"/>
  <c r="Z8" i="9"/>
  <c r="AB7" i="9"/>
  <c r="AA7" i="9"/>
  <c r="AD7" i="9"/>
  <c r="Z7" i="9"/>
  <c r="AB6" i="9"/>
  <c r="AA6" i="9"/>
  <c r="AD6" i="9"/>
  <c r="Z6" i="9"/>
  <c r="P24" i="9"/>
  <c r="O24" i="9"/>
  <c r="S24" i="9"/>
  <c r="R24" i="9"/>
  <c r="N24" i="9"/>
  <c r="P23" i="9"/>
  <c r="O23" i="9"/>
  <c r="S23" i="9"/>
  <c r="R23" i="9"/>
  <c r="N23" i="9"/>
  <c r="P20" i="9"/>
  <c r="O20" i="9"/>
  <c r="S20" i="9"/>
  <c r="R20" i="9"/>
  <c r="N20" i="9"/>
  <c r="P17" i="9"/>
  <c r="O17" i="9"/>
  <c r="R17" i="9"/>
  <c r="N17" i="9"/>
  <c r="P16" i="9"/>
  <c r="O16" i="9"/>
  <c r="R16" i="9"/>
  <c r="N16" i="9"/>
  <c r="P15" i="9"/>
  <c r="O15" i="9"/>
  <c r="R15" i="9"/>
  <c r="N15" i="9"/>
  <c r="P14" i="9"/>
  <c r="O14" i="9"/>
  <c r="R14" i="9"/>
  <c r="N14" i="9"/>
  <c r="P11" i="9"/>
  <c r="O11" i="9"/>
  <c r="R11" i="9"/>
  <c r="N11" i="9"/>
  <c r="P10" i="9"/>
  <c r="O10" i="9"/>
  <c r="R10" i="9"/>
  <c r="N10" i="9"/>
  <c r="P9" i="9"/>
  <c r="O9" i="9"/>
  <c r="R9" i="9"/>
  <c r="N9" i="9"/>
  <c r="P8" i="9"/>
  <c r="O8" i="9"/>
  <c r="R8" i="9"/>
  <c r="N8" i="9"/>
  <c r="P7" i="9"/>
  <c r="O7" i="9"/>
  <c r="R7" i="9"/>
  <c r="N7" i="9"/>
  <c r="P6" i="9"/>
  <c r="O6" i="9"/>
  <c r="R6" i="9"/>
  <c r="N6" i="9"/>
  <c r="D68" i="9"/>
  <c r="C68" i="9"/>
  <c r="G68" i="9"/>
  <c r="F68" i="9"/>
  <c r="B68" i="9"/>
  <c r="D67" i="9"/>
  <c r="C67" i="9"/>
  <c r="G67" i="9"/>
  <c r="F67" i="9"/>
  <c r="B67" i="9"/>
  <c r="D64" i="9"/>
  <c r="C64" i="9"/>
  <c r="F64" i="9"/>
  <c r="B64" i="9"/>
  <c r="D63" i="9"/>
  <c r="C63" i="9"/>
  <c r="F63" i="9"/>
  <c r="B63" i="9"/>
  <c r="D62" i="9"/>
  <c r="C62" i="9"/>
  <c r="F62" i="9"/>
  <c r="B62" i="9"/>
  <c r="D61" i="9"/>
  <c r="C61" i="9"/>
  <c r="F61" i="9"/>
  <c r="B61" i="9"/>
  <c r="D58" i="9"/>
  <c r="C58" i="9"/>
  <c r="F58" i="9"/>
  <c r="B58" i="9"/>
  <c r="D57" i="9"/>
  <c r="C57" i="9"/>
  <c r="F57" i="9"/>
  <c r="B57" i="9"/>
  <c r="D56" i="9"/>
  <c r="C56" i="9"/>
  <c r="F56" i="9"/>
  <c r="B56" i="9"/>
  <c r="D55" i="9"/>
  <c r="C55" i="9"/>
  <c r="F55" i="9"/>
  <c r="B55" i="9"/>
  <c r="D54" i="9"/>
  <c r="C54" i="9"/>
  <c r="F54" i="9"/>
  <c r="B54" i="9"/>
  <c r="D53" i="9"/>
  <c r="C53" i="9"/>
  <c r="F53" i="9"/>
  <c r="B53" i="9"/>
  <c r="D46" i="9"/>
  <c r="C46" i="9"/>
  <c r="G46" i="9"/>
  <c r="F46" i="9"/>
  <c r="B46" i="9"/>
  <c r="D45" i="9"/>
  <c r="C45" i="9"/>
  <c r="G45" i="9"/>
  <c r="F45" i="9"/>
  <c r="B45" i="9"/>
  <c r="B24" i="9"/>
  <c r="C24" i="9"/>
  <c r="D24" i="9"/>
  <c r="F24" i="9"/>
  <c r="G24" i="9"/>
  <c r="D42" i="9"/>
  <c r="C42" i="9"/>
  <c r="F42" i="9"/>
  <c r="B42" i="9"/>
  <c r="D41" i="9"/>
  <c r="C41" i="9"/>
  <c r="F41" i="9"/>
  <c r="B41" i="9"/>
  <c r="D40" i="9"/>
  <c r="C40" i="9"/>
  <c r="F40" i="9"/>
  <c r="B40" i="9"/>
  <c r="D39" i="9"/>
  <c r="C39" i="9"/>
  <c r="F39" i="9"/>
  <c r="B39" i="9"/>
  <c r="D36" i="9"/>
  <c r="C36" i="9"/>
  <c r="F36" i="9"/>
  <c r="B36" i="9"/>
  <c r="D35" i="9"/>
  <c r="C35" i="9"/>
  <c r="F35" i="9"/>
  <c r="B35" i="9"/>
  <c r="D34" i="9"/>
  <c r="C34" i="9"/>
  <c r="F34" i="9"/>
  <c r="B34" i="9"/>
  <c r="D33" i="9"/>
  <c r="C33" i="9"/>
  <c r="F33" i="9"/>
  <c r="B33" i="9"/>
  <c r="D32" i="9"/>
  <c r="C32" i="9"/>
  <c r="F32" i="9"/>
  <c r="B32" i="9"/>
  <c r="D31" i="9"/>
  <c r="C31" i="9"/>
  <c r="F31" i="9"/>
  <c r="B31" i="9"/>
  <c r="D23" i="9"/>
  <c r="C23" i="9"/>
  <c r="G23" i="9"/>
  <c r="F23" i="9"/>
  <c r="B23" i="9"/>
  <c r="D20" i="9"/>
  <c r="C20" i="9"/>
  <c r="G20" i="9"/>
  <c r="F20" i="9"/>
  <c r="B20" i="9"/>
  <c r="B15" i="9"/>
  <c r="C15" i="9"/>
  <c r="D15" i="9"/>
  <c r="F15" i="9"/>
  <c r="B16" i="9"/>
  <c r="C16" i="9"/>
  <c r="D16" i="9"/>
  <c r="F16" i="9"/>
  <c r="B17" i="9"/>
  <c r="C17" i="9"/>
  <c r="D17" i="9"/>
  <c r="F17" i="9"/>
  <c r="B7" i="9"/>
  <c r="C7" i="9"/>
  <c r="D7" i="9"/>
  <c r="F7" i="9"/>
  <c r="B8" i="9"/>
  <c r="C8" i="9"/>
  <c r="D8" i="9"/>
  <c r="F8" i="9"/>
  <c r="B9" i="9"/>
  <c r="C9" i="9"/>
  <c r="D9" i="9"/>
  <c r="F9" i="9"/>
  <c r="B10" i="9"/>
  <c r="C10" i="9"/>
  <c r="D10" i="9"/>
  <c r="F10" i="9"/>
  <c r="B11" i="9"/>
  <c r="C11" i="9"/>
  <c r="D11" i="9"/>
  <c r="F11" i="9"/>
  <c r="D14" i="9"/>
  <c r="C14" i="9"/>
  <c r="F14" i="9"/>
  <c r="B14" i="9"/>
  <c r="C6" i="9"/>
  <c r="B6" i="9"/>
  <c r="D6" i="9"/>
  <c r="F6" i="9"/>
  <c r="K12" i="9"/>
  <c r="I43" i="3"/>
  <c r="I2" i="20"/>
  <c r="J2" i="20"/>
  <c r="K2" i="20"/>
  <c r="B22" i="20"/>
  <c r="B13" i="20"/>
  <c r="B31" i="20"/>
  <c r="B34" i="20"/>
  <c r="C13" i="1"/>
  <c r="B49" i="20"/>
  <c r="B57" i="20"/>
  <c r="B60" i="20"/>
  <c r="C14" i="1"/>
  <c r="C17" i="1"/>
  <c r="E6" i="6"/>
  <c r="G6" i="6"/>
  <c r="C21" i="1"/>
  <c r="D21" i="1"/>
  <c r="E21" i="1"/>
  <c r="J6" i="6"/>
  <c r="L6" i="6"/>
  <c r="G21" i="1"/>
  <c r="H21" i="1"/>
  <c r="I21" i="1"/>
  <c r="P6" i="6"/>
  <c r="R6" i="6"/>
  <c r="K21" i="1"/>
  <c r="L21" i="1"/>
  <c r="M21" i="1"/>
  <c r="D23" i="1"/>
  <c r="H23" i="1"/>
  <c r="L23" i="1"/>
  <c r="H6" i="8"/>
  <c r="E13" i="8"/>
  <c r="H13" i="8"/>
  <c r="E14" i="8"/>
  <c r="H14" i="8"/>
  <c r="E15" i="8"/>
  <c r="H15" i="8"/>
  <c r="E16" i="8"/>
  <c r="H16" i="8"/>
  <c r="E17" i="8"/>
  <c r="H17" i="8"/>
  <c r="H19" i="8"/>
  <c r="E25" i="8"/>
  <c r="H25" i="8"/>
  <c r="E26" i="8"/>
  <c r="H26" i="8"/>
  <c r="E27" i="8"/>
  <c r="H27" i="8"/>
  <c r="E28" i="8"/>
  <c r="H28" i="8"/>
  <c r="E29" i="8"/>
  <c r="H29" i="8"/>
  <c r="E33" i="8"/>
  <c r="H33" i="8"/>
  <c r="E34" i="8"/>
  <c r="H34" i="8"/>
  <c r="E35" i="8"/>
  <c r="H35" i="8"/>
  <c r="E36" i="8"/>
  <c r="H36" i="8"/>
  <c r="E37" i="8"/>
  <c r="H37" i="8"/>
  <c r="H40" i="8"/>
  <c r="C24" i="1"/>
  <c r="D24" i="1"/>
  <c r="E24" i="1"/>
  <c r="O6" i="8"/>
  <c r="R6" i="8"/>
  <c r="O7" i="8"/>
  <c r="R7" i="8"/>
  <c r="O8" i="8"/>
  <c r="R8" i="8"/>
  <c r="O9" i="8"/>
  <c r="R9" i="8"/>
  <c r="O10" i="8"/>
  <c r="R10" i="8"/>
  <c r="O13" i="8"/>
  <c r="R13" i="8"/>
  <c r="O14" i="8"/>
  <c r="R14" i="8"/>
  <c r="O15" i="8"/>
  <c r="R15" i="8"/>
  <c r="O16" i="8"/>
  <c r="R16" i="8"/>
  <c r="O17" i="8"/>
  <c r="R17" i="8"/>
  <c r="R19" i="8"/>
  <c r="O25" i="8"/>
  <c r="R25" i="8"/>
  <c r="O26" i="8"/>
  <c r="R26" i="8"/>
  <c r="O27" i="8"/>
  <c r="R27" i="8"/>
  <c r="O28" i="8"/>
  <c r="R28" i="8"/>
  <c r="O29" i="8"/>
  <c r="R29" i="8"/>
  <c r="O33" i="8"/>
  <c r="R33" i="8"/>
  <c r="O34" i="8"/>
  <c r="R34" i="8"/>
  <c r="O35" i="8"/>
  <c r="R35" i="8"/>
  <c r="O36" i="8"/>
  <c r="R36" i="8"/>
  <c r="O37" i="8"/>
  <c r="R37" i="8"/>
  <c r="R40" i="8"/>
  <c r="G24" i="1"/>
  <c r="H24" i="1"/>
  <c r="I24" i="1"/>
  <c r="AB19" i="8"/>
  <c r="AB25" i="8"/>
  <c r="AB26" i="8"/>
  <c r="AB27" i="8"/>
  <c r="AB28" i="8"/>
  <c r="AB29" i="8"/>
  <c r="AB40" i="8"/>
  <c r="K24" i="1"/>
  <c r="L24" i="1"/>
  <c r="M24" i="1"/>
  <c r="E46" i="8"/>
  <c r="H46" i="8"/>
  <c r="E47" i="8"/>
  <c r="H47" i="8"/>
  <c r="E48" i="8"/>
  <c r="H48" i="8"/>
  <c r="E49" i="8"/>
  <c r="H49" i="8"/>
  <c r="E50" i="8"/>
  <c r="H50" i="8"/>
  <c r="H53" i="8"/>
  <c r="C25" i="1"/>
  <c r="D25" i="1"/>
  <c r="E25" i="1"/>
  <c r="O46" i="8"/>
  <c r="R46" i="8"/>
  <c r="O47" i="8"/>
  <c r="R47" i="8"/>
  <c r="O48" i="8"/>
  <c r="R48" i="8"/>
  <c r="O49" i="8"/>
  <c r="R49" i="8"/>
  <c r="O50" i="8"/>
  <c r="R50" i="8"/>
  <c r="R53" i="8"/>
  <c r="G25" i="1"/>
  <c r="H25" i="1"/>
  <c r="I25" i="1"/>
  <c r="AB46" i="8"/>
  <c r="AB53" i="8"/>
  <c r="K25" i="1"/>
  <c r="L25" i="1"/>
  <c r="M25" i="1"/>
  <c r="E57" i="8"/>
  <c r="H57" i="8"/>
  <c r="E58" i="8"/>
  <c r="H58" i="8"/>
  <c r="E59" i="8"/>
  <c r="H59" i="8"/>
  <c r="E60" i="8"/>
  <c r="H60" i="8"/>
  <c r="E61" i="8"/>
  <c r="H61" i="8"/>
  <c r="H64" i="8"/>
  <c r="C26" i="1"/>
  <c r="D26" i="1"/>
  <c r="E26" i="1"/>
  <c r="O57" i="8"/>
  <c r="R57" i="8"/>
  <c r="O58" i="8"/>
  <c r="R58" i="8"/>
  <c r="O59" i="8"/>
  <c r="R59" i="8"/>
  <c r="O60" i="8"/>
  <c r="R60" i="8"/>
  <c r="O61" i="8"/>
  <c r="R61" i="8"/>
  <c r="R64" i="8"/>
  <c r="G26" i="1"/>
  <c r="H26" i="1"/>
  <c r="I26" i="1"/>
  <c r="AB57" i="8"/>
  <c r="AB64" i="8"/>
  <c r="K26" i="1"/>
  <c r="L26" i="1"/>
  <c r="M26" i="1"/>
  <c r="E7" i="6"/>
  <c r="G7" i="6"/>
  <c r="C27" i="1"/>
  <c r="D27" i="1"/>
  <c r="E27" i="1"/>
  <c r="J7" i="6"/>
  <c r="L7" i="6"/>
  <c r="G27" i="1"/>
  <c r="H27" i="1"/>
  <c r="I27" i="1"/>
  <c r="P7" i="6"/>
  <c r="R7" i="6"/>
  <c r="K27" i="1"/>
  <c r="L27" i="1"/>
  <c r="M27" i="1"/>
  <c r="E8" i="6"/>
  <c r="G8" i="6"/>
  <c r="C28" i="1"/>
  <c r="D28" i="1"/>
  <c r="E28" i="1"/>
  <c r="J8" i="6"/>
  <c r="L8" i="6"/>
  <c r="G28" i="1"/>
  <c r="H28" i="1"/>
  <c r="I28" i="1"/>
  <c r="P8" i="6"/>
  <c r="R8" i="6"/>
  <c r="K28" i="1"/>
  <c r="L28" i="1"/>
  <c r="M28" i="1"/>
  <c r="E9" i="6"/>
  <c r="G9" i="6"/>
  <c r="C29" i="1"/>
  <c r="D29" i="1"/>
  <c r="J9" i="6"/>
  <c r="L9" i="6"/>
  <c r="G29" i="1"/>
  <c r="H29" i="1"/>
  <c r="P9" i="6"/>
  <c r="R9" i="6"/>
  <c r="K29" i="1"/>
  <c r="L29" i="1"/>
  <c r="D30" i="1"/>
  <c r="H30" i="1"/>
  <c r="L30" i="1"/>
  <c r="E11" i="6"/>
  <c r="G11" i="6"/>
  <c r="C31" i="1"/>
  <c r="D31" i="1"/>
  <c r="E31" i="1"/>
  <c r="J11" i="6"/>
  <c r="L11" i="6"/>
  <c r="G31" i="1"/>
  <c r="H31" i="1"/>
  <c r="I31" i="1"/>
  <c r="P11" i="6"/>
  <c r="R11" i="6"/>
  <c r="K31" i="1"/>
  <c r="L31" i="1"/>
  <c r="M31" i="1"/>
  <c r="E12" i="6"/>
  <c r="G12" i="6"/>
  <c r="C32" i="1"/>
  <c r="D32" i="1"/>
  <c r="E32" i="1"/>
  <c r="J12" i="6"/>
  <c r="L12" i="6"/>
  <c r="G32" i="1"/>
  <c r="H32" i="1"/>
  <c r="I32" i="1"/>
  <c r="P12" i="6"/>
  <c r="R12" i="6"/>
  <c r="K32" i="1"/>
  <c r="L32" i="1"/>
  <c r="M32" i="1"/>
  <c r="D33" i="1"/>
  <c r="H33" i="1"/>
  <c r="L33" i="1"/>
  <c r="E14" i="6"/>
  <c r="G14" i="6"/>
  <c r="C34" i="1"/>
  <c r="D34" i="1"/>
  <c r="E34" i="1"/>
  <c r="J14" i="6"/>
  <c r="L14" i="6"/>
  <c r="G34" i="1"/>
  <c r="H34" i="1"/>
  <c r="I34" i="1"/>
  <c r="P14" i="6"/>
  <c r="R14" i="6"/>
  <c r="K34" i="1"/>
  <c r="L34" i="1"/>
  <c r="M34" i="1"/>
  <c r="E15" i="6"/>
  <c r="G15" i="6"/>
  <c r="C35" i="1"/>
  <c r="D35" i="1"/>
  <c r="E35" i="1"/>
  <c r="J15" i="6"/>
  <c r="L15" i="6"/>
  <c r="G35" i="1"/>
  <c r="H35" i="1"/>
  <c r="I35" i="1"/>
  <c r="P15" i="6"/>
  <c r="R15" i="6"/>
  <c r="K35" i="1"/>
  <c r="L35" i="1"/>
  <c r="M35" i="1"/>
  <c r="D36" i="1"/>
  <c r="H36" i="1"/>
  <c r="L36" i="1"/>
  <c r="E17" i="6"/>
  <c r="G17" i="6"/>
  <c r="C37" i="1"/>
  <c r="D37" i="1"/>
  <c r="E37" i="1"/>
  <c r="J17" i="6"/>
  <c r="L17" i="6"/>
  <c r="G37" i="1"/>
  <c r="H37" i="1"/>
  <c r="I37" i="1"/>
  <c r="P17" i="6"/>
  <c r="R17" i="6"/>
  <c r="K37" i="1"/>
  <c r="L37" i="1"/>
  <c r="M37" i="1"/>
  <c r="E18" i="6"/>
  <c r="G18" i="6"/>
  <c r="C38" i="1"/>
  <c r="D38" i="1"/>
  <c r="E38" i="1"/>
  <c r="J18" i="6"/>
  <c r="L18" i="6"/>
  <c r="G38" i="1"/>
  <c r="H38" i="1"/>
  <c r="I38" i="1"/>
  <c r="P18" i="6"/>
  <c r="R18" i="6"/>
  <c r="K38" i="1"/>
  <c r="L38" i="1"/>
  <c r="M38" i="1"/>
  <c r="E19" i="6"/>
  <c r="G19" i="6"/>
  <c r="C39" i="1"/>
  <c r="D39" i="1"/>
  <c r="E39" i="1"/>
  <c r="J19" i="6"/>
  <c r="L19" i="6"/>
  <c r="G39" i="1"/>
  <c r="H39" i="1"/>
  <c r="I39" i="1"/>
  <c r="P19" i="6"/>
  <c r="R19" i="6"/>
  <c r="K39" i="1"/>
  <c r="L39" i="1"/>
  <c r="M39" i="1"/>
  <c r="C40" i="1"/>
  <c r="D40" i="1"/>
  <c r="E40" i="1"/>
  <c r="G40" i="1"/>
  <c r="H40" i="1"/>
  <c r="I40" i="1"/>
  <c r="K40" i="1"/>
  <c r="L40" i="1"/>
  <c r="M40" i="1"/>
  <c r="C41" i="1"/>
  <c r="D41" i="1"/>
  <c r="E41" i="1"/>
  <c r="G41" i="1"/>
  <c r="H41" i="1"/>
  <c r="I41" i="1"/>
  <c r="K41" i="1"/>
  <c r="L41" i="1"/>
  <c r="M41" i="1"/>
  <c r="E22" i="6"/>
  <c r="G22" i="6"/>
  <c r="C42" i="1"/>
  <c r="D42" i="1"/>
  <c r="E42" i="1"/>
  <c r="J22" i="6"/>
  <c r="L22" i="6"/>
  <c r="G42" i="1"/>
  <c r="H42" i="1"/>
  <c r="I42" i="1"/>
  <c r="P22" i="6"/>
  <c r="R22" i="6"/>
  <c r="K42" i="1"/>
  <c r="L42" i="1"/>
  <c r="M42" i="1"/>
  <c r="D43" i="1"/>
  <c r="H43" i="1"/>
  <c r="L43" i="1"/>
  <c r="E24" i="6"/>
  <c r="G24" i="6"/>
  <c r="C44" i="1"/>
  <c r="D44" i="1"/>
  <c r="E44" i="1"/>
  <c r="J24" i="6"/>
  <c r="L24" i="6"/>
  <c r="G44" i="1"/>
  <c r="H44" i="1"/>
  <c r="I44" i="1"/>
  <c r="P24" i="6"/>
  <c r="R24" i="6"/>
  <c r="K44" i="1"/>
  <c r="L44" i="1"/>
  <c r="M44" i="1"/>
  <c r="E25" i="6"/>
  <c r="G25" i="6"/>
  <c r="C45" i="1"/>
  <c r="D45" i="1"/>
  <c r="E45" i="1"/>
  <c r="J25" i="6"/>
  <c r="L25" i="6"/>
  <c r="G45" i="1"/>
  <c r="H45" i="1"/>
  <c r="I45" i="1"/>
  <c r="P25" i="6"/>
  <c r="R25" i="6"/>
  <c r="K45" i="1"/>
  <c r="L45" i="1"/>
  <c r="M45" i="1"/>
  <c r="E26" i="6"/>
  <c r="G26" i="6"/>
  <c r="C46" i="1"/>
  <c r="D46" i="1"/>
  <c r="E46" i="1"/>
  <c r="J26" i="6"/>
  <c r="L26" i="6"/>
  <c r="G46" i="1"/>
  <c r="H46" i="1"/>
  <c r="I46" i="1"/>
  <c r="P26" i="6"/>
  <c r="R26" i="6"/>
  <c r="K46" i="1"/>
  <c r="L46" i="1"/>
  <c r="M46" i="1"/>
  <c r="E27" i="6"/>
  <c r="G27" i="6"/>
  <c r="C47" i="1"/>
  <c r="D47" i="1"/>
  <c r="E47" i="1"/>
  <c r="J27" i="6"/>
  <c r="L27" i="6"/>
  <c r="G47" i="1"/>
  <c r="H47" i="1"/>
  <c r="I47" i="1"/>
  <c r="P27" i="6"/>
  <c r="R27" i="6"/>
  <c r="K47" i="1"/>
  <c r="L47" i="1"/>
  <c r="M47" i="1"/>
  <c r="N10" i="2"/>
  <c r="O10" i="2"/>
  <c r="P10" i="2"/>
  <c r="Q10" i="2"/>
  <c r="T10" i="2"/>
  <c r="C48" i="1"/>
  <c r="D48" i="1"/>
  <c r="E48" i="1"/>
  <c r="R10" i="2"/>
  <c r="U10" i="2"/>
  <c r="G48" i="1"/>
  <c r="H48" i="1"/>
  <c r="I48" i="1"/>
  <c r="S10" i="2"/>
  <c r="V10" i="2"/>
  <c r="K48" i="1"/>
  <c r="L48" i="1"/>
  <c r="M48" i="1"/>
  <c r="E28" i="6"/>
  <c r="G28" i="6"/>
  <c r="C49" i="1"/>
  <c r="D49" i="1"/>
  <c r="E49" i="1"/>
  <c r="J28" i="6"/>
  <c r="L28" i="6"/>
  <c r="G49" i="1"/>
  <c r="H49" i="1"/>
  <c r="I49" i="1"/>
  <c r="P28" i="6"/>
  <c r="R28" i="6"/>
  <c r="K49" i="1"/>
  <c r="L49" i="1"/>
  <c r="M49" i="1"/>
  <c r="C22" i="20"/>
  <c r="C13" i="20"/>
  <c r="C31" i="20"/>
  <c r="C34" i="20"/>
  <c r="G13" i="1"/>
  <c r="C49" i="20"/>
  <c r="C57" i="20"/>
  <c r="C60" i="20"/>
  <c r="G14" i="1"/>
  <c r="G17" i="1"/>
  <c r="K13" i="1"/>
  <c r="K14" i="1"/>
  <c r="K17" i="1"/>
  <c r="E32" i="6"/>
  <c r="G32" i="6"/>
  <c r="C54" i="1"/>
  <c r="D54" i="1"/>
  <c r="E54" i="1"/>
  <c r="J32" i="6"/>
  <c r="L32" i="6"/>
  <c r="G54" i="1"/>
  <c r="H54" i="1"/>
  <c r="I54" i="1"/>
  <c r="P32" i="6"/>
  <c r="R32" i="6"/>
  <c r="K54" i="1"/>
  <c r="L54" i="1"/>
  <c r="M54" i="1"/>
  <c r="E33" i="6"/>
  <c r="G33" i="6"/>
  <c r="C55" i="1"/>
  <c r="D55" i="1"/>
  <c r="E55" i="1"/>
  <c r="J33" i="6"/>
  <c r="L33" i="6"/>
  <c r="G55" i="1"/>
  <c r="H55" i="1"/>
  <c r="I55" i="1"/>
  <c r="P33" i="6"/>
  <c r="R33" i="6"/>
  <c r="K55" i="1"/>
  <c r="L55" i="1"/>
  <c r="M55" i="1"/>
  <c r="E34" i="6"/>
  <c r="G34" i="6"/>
  <c r="C56" i="1"/>
  <c r="D56" i="1"/>
  <c r="E56" i="1"/>
  <c r="J34" i="6"/>
  <c r="L34" i="6"/>
  <c r="G56" i="1"/>
  <c r="H56" i="1"/>
  <c r="I56" i="1"/>
  <c r="P34" i="6"/>
  <c r="R34" i="6"/>
  <c r="K56" i="1"/>
  <c r="L56" i="1"/>
  <c r="M56" i="1"/>
  <c r="K12" i="19"/>
  <c r="L12" i="19"/>
  <c r="M12" i="19"/>
  <c r="F12" i="19"/>
  <c r="C12" i="19"/>
  <c r="C57" i="1"/>
  <c r="D57" i="1"/>
  <c r="E57" i="1"/>
  <c r="G12" i="19"/>
  <c r="D12" i="19"/>
  <c r="G57" i="1"/>
  <c r="H57" i="1"/>
  <c r="I57" i="1"/>
  <c r="H12" i="19"/>
  <c r="E12" i="19"/>
  <c r="K57" i="1"/>
  <c r="L57" i="1"/>
  <c r="M57" i="1"/>
  <c r="E35" i="6"/>
  <c r="G35" i="6"/>
  <c r="C58" i="1"/>
  <c r="D58" i="1"/>
  <c r="E58" i="1"/>
  <c r="J35" i="6"/>
  <c r="L35" i="6"/>
  <c r="G58" i="1"/>
  <c r="H58" i="1"/>
  <c r="I58" i="1"/>
  <c r="P35" i="6"/>
  <c r="R35" i="6"/>
  <c r="K58" i="1"/>
  <c r="L58" i="1"/>
  <c r="M58" i="1"/>
  <c r="C59" i="1"/>
  <c r="E59" i="1"/>
  <c r="G59" i="1"/>
  <c r="I59" i="1"/>
  <c r="K59" i="1"/>
  <c r="M59" i="1"/>
  <c r="K13" i="19"/>
  <c r="L13" i="19"/>
  <c r="M13" i="19"/>
  <c r="F13" i="19"/>
  <c r="C13" i="19"/>
  <c r="C65" i="1"/>
  <c r="D65" i="1"/>
  <c r="E65" i="1"/>
  <c r="G13" i="19"/>
  <c r="D13" i="19"/>
  <c r="G65" i="1"/>
  <c r="H65" i="1"/>
  <c r="I65" i="1"/>
  <c r="H13" i="19"/>
  <c r="E13" i="19"/>
  <c r="K65" i="1"/>
  <c r="L65" i="1"/>
  <c r="M65" i="1"/>
  <c r="K14" i="19"/>
  <c r="L14" i="19"/>
  <c r="M14" i="19"/>
  <c r="F14" i="19"/>
  <c r="C14" i="19"/>
  <c r="C66" i="1"/>
  <c r="D66" i="1"/>
  <c r="E66" i="1"/>
  <c r="G14" i="19"/>
  <c r="D14" i="19"/>
  <c r="G66" i="1"/>
  <c r="H66" i="1"/>
  <c r="I66" i="1"/>
  <c r="H14" i="19"/>
  <c r="E14" i="19"/>
  <c r="K66" i="1"/>
  <c r="L66" i="1"/>
  <c r="M66" i="1"/>
  <c r="H7" i="2"/>
  <c r="H13" i="2"/>
  <c r="M10" i="2"/>
  <c r="H19" i="2"/>
  <c r="H28" i="2"/>
  <c r="M11" i="2"/>
  <c r="N11" i="2"/>
  <c r="O11" i="2"/>
  <c r="P11" i="2"/>
  <c r="Q11" i="2"/>
  <c r="T11" i="2"/>
  <c r="N12" i="2"/>
  <c r="O12" i="2"/>
  <c r="P12" i="2"/>
  <c r="Q12" i="2"/>
  <c r="T12" i="2"/>
  <c r="C67" i="1"/>
  <c r="G19" i="2"/>
  <c r="G28" i="2"/>
  <c r="M14" i="2"/>
  <c r="N14" i="2"/>
  <c r="O14" i="2"/>
  <c r="P14" i="2"/>
  <c r="Q14" i="2"/>
  <c r="T14" i="2"/>
  <c r="N15" i="2"/>
  <c r="O15" i="2"/>
  <c r="P15" i="2"/>
  <c r="Q15" i="2"/>
  <c r="T15" i="2"/>
  <c r="C68" i="1"/>
  <c r="C69" i="1"/>
  <c r="S11" i="2"/>
  <c r="V11" i="2"/>
  <c r="S12" i="2"/>
  <c r="V12" i="2"/>
  <c r="K67" i="1"/>
  <c r="S14" i="2"/>
  <c r="V14" i="2"/>
  <c r="S15" i="2"/>
  <c r="V15" i="2"/>
  <c r="K68" i="1"/>
  <c r="K69" i="1"/>
  <c r="R11" i="2"/>
  <c r="U11" i="2"/>
  <c r="R12" i="2"/>
  <c r="U12" i="2"/>
  <c r="G67" i="1"/>
  <c r="R14" i="2"/>
  <c r="U14" i="2"/>
  <c r="R15" i="2"/>
  <c r="U15" i="2"/>
  <c r="G68" i="1"/>
  <c r="G69" i="1"/>
  <c r="H26" i="19"/>
  <c r="E26" i="19"/>
  <c r="F41" i="19"/>
  <c r="G41" i="19"/>
  <c r="H35" i="19"/>
  <c r="E35" i="19"/>
  <c r="F42" i="19"/>
  <c r="G42" i="19"/>
  <c r="G43" i="19"/>
  <c r="G8" i="19"/>
  <c r="B19" i="3"/>
  <c r="G61" i="8"/>
  <c r="C61" i="8"/>
  <c r="G60" i="8"/>
  <c r="C60" i="8"/>
  <c r="G59" i="8"/>
  <c r="C59" i="8"/>
  <c r="G58" i="8"/>
  <c r="C58" i="8"/>
  <c r="G57" i="8"/>
  <c r="C57" i="8"/>
  <c r="G50" i="8"/>
  <c r="C50" i="8"/>
  <c r="G49" i="8"/>
  <c r="C49" i="8"/>
  <c r="G48" i="8"/>
  <c r="C48" i="8"/>
  <c r="G47" i="8"/>
  <c r="C47" i="8"/>
  <c r="G46" i="8"/>
  <c r="C46" i="8"/>
  <c r="G37" i="8"/>
  <c r="C37" i="8"/>
  <c r="G36" i="8"/>
  <c r="C36" i="8"/>
  <c r="G35" i="8"/>
  <c r="C35" i="8"/>
  <c r="G34" i="8"/>
  <c r="C34" i="8"/>
  <c r="G33" i="8"/>
  <c r="C33" i="8"/>
  <c r="G29" i="8"/>
  <c r="C29" i="8"/>
  <c r="B29" i="8"/>
  <c r="G28" i="8"/>
  <c r="C28" i="8"/>
  <c r="B28" i="8"/>
  <c r="G27" i="8"/>
  <c r="C27" i="8"/>
  <c r="B27" i="8"/>
  <c r="G26" i="8"/>
  <c r="C26" i="8"/>
  <c r="B26" i="8"/>
  <c r="G25" i="8"/>
  <c r="C25" i="8"/>
  <c r="B25" i="8"/>
  <c r="G17" i="8"/>
  <c r="C17" i="8"/>
  <c r="G16" i="8"/>
  <c r="C16" i="8"/>
  <c r="G15" i="8"/>
  <c r="C15" i="8"/>
  <c r="G14" i="8"/>
  <c r="C14" i="8"/>
  <c r="G13" i="8"/>
  <c r="C13" i="8"/>
  <c r="M17" i="1"/>
  <c r="H8" i="2"/>
  <c r="H9" i="2"/>
  <c r="H10" i="2"/>
  <c r="H11" i="2"/>
  <c r="H12" i="2"/>
  <c r="L3" i="23"/>
  <c r="K3" i="23"/>
  <c r="J3" i="23"/>
  <c r="G17" i="2"/>
  <c r="G18" i="2"/>
  <c r="G20" i="2"/>
  <c r="G21" i="2"/>
  <c r="G22" i="2"/>
  <c r="G23" i="2"/>
  <c r="G24" i="2"/>
  <c r="G25" i="2"/>
  <c r="G26" i="2"/>
  <c r="G27" i="2"/>
  <c r="H17" i="2"/>
  <c r="H18" i="2"/>
  <c r="H20" i="2"/>
  <c r="H21" i="2"/>
  <c r="H22" i="2"/>
  <c r="H23" i="2"/>
  <c r="H24" i="2"/>
  <c r="H25" i="2"/>
  <c r="H26" i="2"/>
  <c r="H27" i="2"/>
  <c r="G33" i="2"/>
  <c r="G34" i="2"/>
  <c r="G35" i="2"/>
  <c r="G36" i="2"/>
  <c r="G37" i="2"/>
  <c r="G38" i="2"/>
  <c r="G39" i="2"/>
  <c r="G40" i="2"/>
  <c r="G41" i="2"/>
  <c r="H33" i="2"/>
  <c r="H34" i="2"/>
  <c r="H35" i="2"/>
  <c r="H36" i="2"/>
  <c r="H37" i="2"/>
  <c r="H38" i="2"/>
  <c r="H39" i="2"/>
  <c r="H40" i="2"/>
  <c r="H41" i="2"/>
  <c r="M15" i="2"/>
  <c r="D40" i="23"/>
  <c r="C40" i="23"/>
  <c r="C37" i="23"/>
  <c r="D37" i="23"/>
  <c r="M12" i="2"/>
  <c r="C38" i="23"/>
  <c r="D38" i="23"/>
  <c r="D36" i="23"/>
  <c r="C36" i="23"/>
  <c r="D31" i="23"/>
  <c r="D32" i="23"/>
  <c r="D33" i="23"/>
  <c r="D34" i="23"/>
  <c r="C31" i="23"/>
  <c r="C32" i="23"/>
  <c r="C33" i="23"/>
  <c r="C34" i="23"/>
  <c r="D30" i="23"/>
  <c r="C30" i="23"/>
  <c r="C25" i="23"/>
  <c r="C26" i="23"/>
  <c r="C24" i="23"/>
  <c r="D25" i="23"/>
  <c r="D26" i="23"/>
  <c r="D24" i="23"/>
  <c r="C18" i="23"/>
  <c r="C19" i="23"/>
  <c r="C20" i="23"/>
  <c r="C17" i="23"/>
  <c r="D18" i="23"/>
  <c r="D19" i="23"/>
  <c r="D20" i="23"/>
  <c r="D17" i="23"/>
  <c r="C15" i="23"/>
  <c r="C16" i="23"/>
  <c r="C14" i="23"/>
  <c r="D15" i="23"/>
  <c r="D16" i="23"/>
  <c r="D14" i="23"/>
  <c r="C12" i="23"/>
  <c r="C13" i="23"/>
  <c r="C11" i="23"/>
  <c r="D12" i="23"/>
  <c r="D13" i="23"/>
  <c r="D11" i="23"/>
  <c r="C21" i="23"/>
  <c r="D21" i="23"/>
  <c r="C22" i="23"/>
  <c r="D22" i="23"/>
  <c r="C23" i="23"/>
  <c r="D23" i="23"/>
  <c r="C27" i="23"/>
  <c r="D27" i="23"/>
  <c r="C28" i="23"/>
  <c r="D28" i="23"/>
  <c r="C29" i="23"/>
  <c r="D29" i="23"/>
  <c r="C6" i="23"/>
  <c r="D6" i="23"/>
  <c r="C7" i="23"/>
  <c r="D7" i="23"/>
  <c r="C8" i="23"/>
  <c r="D8" i="23"/>
  <c r="C9" i="23"/>
  <c r="D9" i="23"/>
  <c r="C10" i="23"/>
  <c r="D10" i="23"/>
  <c r="D5" i="23"/>
  <c r="C5" i="23"/>
  <c r="D4" i="23"/>
  <c r="C4" i="23"/>
  <c r="D2" i="23"/>
  <c r="B40" i="23"/>
  <c r="B37" i="23"/>
  <c r="B38" i="23"/>
  <c r="B36" i="23"/>
  <c r="B31" i="23"/>
  <c r="B32" i="23"/>
  <c r="B33" i="23"/>
  <c r="B34" i="23"/>
  <c r="B30" i="23"/>
  <c r="B25" i="23"/>
  <c r="B26" i="23"/>
  <c r="B24" i="23"/>
  <c r="B18" i="23"/>
  <c r="B19" i="23"/>
  <c r="B20" i="23"/>
  <c r="B17" i="23"/>
  <c r="B15" i="23"/>
  <c r="B16" i="23"/>
  <c r="B14" i="23"/>
  <c r="B12" i="23"/>
  <c r="B13" i="23"/>
  <c r="B11" i="23"/>
  <c r="B6" i="23"/>
  <c r="B7" i="23"/>
  <c r="B8" i="23"/>
  <c r="B9" i="23"/>
  <c r="B10" i="23"/>
  <c r="B21" i="23"/>
  <c r="B22" i="23"/>
  <c r="B23" i="23"/>
  <c r="B27" i="23"/>
  <c r="B28" i="23"/>
  <c r="B29" i="23"/>
  <c r="B5" i="23"/>
  <c r="B4" i="23"/>
  <c r="D39" i="23"/>
  <c r="C39" i="23"/>
  <c r="B39" i="23"/>
  <c r="D35" i="23"/>
  <c r="C35" i="23"/>
  <c r="B35" i="23"/>
  <c r="C10" i="24"/>
  <c r="D22" i="20"/>
  <c r="D13" i="20"/>
  <c r="D31" i="20"/>
  <c r="D34" i="20"/>
  <c r="D49" i="20"/>
  <c r="D57" i="20"/>
  <c r="D60" i="20"/>
  <c r="E6" i="24"/>
  <c r="E5" i="24"/>
  <c r="E4" i="24"/>
  <c r="C6" i="24"/>
  <c r="C5" i="24"/>
  <c r="C4" i="24"/>
  <c r="C13" i="24"/>
  <c r="C12" i="24"/>
  <c r="C11" i="24"/>
  <c r="D52" i="20"/>
  <c r="C52" i="20"/>
  <c r="B52" i="20"/>
  <c r="D43" i="20"/>
  <c r="C43" i="20"/>
  <c r="B43" i="20"/>
  <c r="I6" i="9"/>
  <c r="AH12" i="9"/>
  <c r="AG12" i="9"/>
  <c r="AI9" i="9"/>
  <c r="AH9" i="9"/>
  <c r="AG9" i="9"/>
  <c r="AI6" i="9"/>
  <c r="AH6" i="9"/>
  <c r="AG6" i="9"/>
  <c r="V12" i="9"/>
  <c r="U12" i="9"/>
  <c r="W9" i="9"/>
  <c r="V9" i="9"/>
  <c r="U9" i="9"/>
  <c r="W6" i="9"/>
  <c r="V6" i="9"/>
  <c r="U6" i="9"/>
  <c r="J12" i="9"/>
  <c r="I12" i="9"/>
  <c r="K9" i="9"/>
  <c r="J9" i="9"/>
  <c r="I9" i="9"/>
  <c r="K6" i="9"/>
  <c r="J6" i="9"/>
  <c r="Q58" i="8"/>
  <c r="Q59" i="8"/>
  <c r="Q60" i="8"/>
  <c r="Q61" i="8"/>
  <c r="M58" i="8"/>
  <c r="M59" i="8"/>
  <c r="M60" i="8"/>
  <c r="M61" i="8"/>
  <c r="M57" i="8"/>
  <c r="Q47" i="8"/>
  <c r="Q48" i="8"/>
  <c r="Q49" i="8"/>
  <c r="Q50" i="8"/>
  <c r="M47" i="8"/>
  <c r="M48" i="8"/>
  <c r="M49" i="8"/>
  <c r="M50" i="8"/>
  <c r="M46" i="8"/>
  <c r="Q29" i="8"/>
  <c r="M29" i="8"/>
  <c r="L29" i="8"/>
  <c r="Q28" i="8"/>
  <c r="M28" i="8"/>
  <c r="L28" i="8"/>
  <c r="Q27" i="8"/>
  <c r="M27" i="8"/>
  <c r="L27" i="8"/>
  <c r="Q26" i="8"/>
  <c r="M26" i="8"/>
  <c r="L26" i="8"/>
  <c r="Q25" i="8"/>
  <c r="M25" i="8"/>
  <c r="L25" i="8"/>
  <c r="Q7" i="8"/>
  <c r="Q8" i="8"/>
  <c r="Q9" i="8"/>
  <c r="Q10" i="8"/>
  <c r="Q6" i="8"/>
  <c r="M7" i="8"/>
  <c r="M8" i="8"/>
  <c r="M9" i="8"/>
  <c r="M10" i="8"/>
  <c r="M6" i="8"/>
  <c r="L7" i="8"/>
  <c r="L8" i="8"/>
  <c r="L9" i="8"/>
  <c r="L10" i="8"/>
  <c r="C2" i="23"/>
  <c r="K88" i="1"/>
  <c r="G88" i="1"/>
  <c r="K92" i="1"/>
  <c r="G92" i="1"/>
  <c r="H22" i="19"/>
  <c r="G32" i="19"/>
  <c r="F43" i="19"/>
  <c r="G26" i="19"/>
  <c r="D26" i="19"/>
  <c r="D41" i="19"/>
  <c r="G35" i="19"/>
  <c r="D35" i="19"/>
  <c r="D42" i="19"/>
  <c r="D43" i="19"/>
  <c r="F26" i="19"/>
  <c r="C26" i="19"/>
  <c r="B41" i="19"/>
  <c r="F35" i="19"/>
  <c r="C35" i="19"/>
  <c r="B42" i="19"/>
  <c r="B43" i="19"/>
  <c r="E42" i="19"/>
  <c r="E41" i="19"/>
  <c r="E43" i="19"/>
  <c r="C41" i="19"/>
  <c r="C42" i="19"/>
  <c r="C43" i="19"/>
  <c r="L45" i="19"/>
  <c r="L44" i="19"/>
  <c r="L41" i="19"/>
  <c r="L42" i="19"/>
  <c r="L43" i="19"/>
  <c r="K42" i="19"/>
  <c r="K41" i="19"/>
  <c r="C92" i="1"/>
  <c r="C88" i="1"/>
  <c r="G7" i="19"/>
  <c r="G6" i="19"/>
  <c r="G9" i="19"/>
  <c r="C75" i="1"/>
  <c r="C76" i="1"/>
  <c r="C77" i="1"/>
  <c r="F22" i="20"/>
  <c r="F13" i="20"/>
  <c r="C25" i="20"/>
  <c r="D25" i="20"/>
  <c r="B25" i="20"/>
  <c r="C16" i="20"/>
  <c r="D16" i="20"/>
  <c r="B16" i="20"/>
  <c r="C7" i="20"/>
  <c r="D7" i="20"/>
  <c r="B7" i="20"/>
  <c r="F4" i="20"/>
  <c r="K76" i="1"/>
  <c r="K75" i="1"/>
  <c r="K77" i="1"/>
  <c r="G76" i="1"/>
  <c r="G75" i="1"/>
  <c r="G77" i="1"/>
  <c r="L76" i="1"/>
  <c r="E17" i="1"/>
  <c r="B20" i="19"/>
  <c r="I17" i="1"/>
  <c r="C20" i="19"/>
  <c r="D20" i="19"/>
  <c r="H20" i="19"/>
  <c r="I75" i="1"/>
  <c r="I76" i="1"/>
  <c r="I77" i="1"/>
  <c r="H76" i="1"/>
  <c r="D76" i="1"/>
  <c r="M75" i="1"/>
  <c r="M76" i="1"/>
  <c r="M77" i="1"/>
  <c r="E75" i="1"/>
  <c r="E76" i="1"/>
  <c r="E77" i="1"/>
  <c r="L75" i="1"/>
  <c r="H75" i="1"/>
  <c r="D75" i="1"/>
  <c r="D67" i="1"/>
  <c r="D68" i="1"/>
  <c r="L67" i="1"/>
  <c r="L68" i="1"/>
  <c r="H67" i="1"/>
  <c r="H68" i="1"/>
  <c r="E67" i="1"/>
  <c r="I67" i="1"/>
  <c r="M67" i="1"/>
  <c r="U56" i="9"/>
  <c r="U34" i="9"/>
  <c r="M68" i="1"/>
  <c r="M69" i="1"/>
  <c r="I68" i="1"/>
  <c r="I69" i="1"/>
  <c r="E68" i="1"/>
  <c r="E69" i="1"/>
  <c r="G7" i="2"/>
  <c r="G8" i="2"/>
  <c r="G9" i="2"/>
  <c r="G10" i="2"/>
  <c r="G11" i="2"/>
  <c r="G12" i="2"/>
  <c r="G13" i="2"/>
  <c r="J3" i="2"/>
  <c r="J33" i="2"/>
  <c r="J34" i="2"/>
  <c r="J35" i="2"/>
  <c r="J36" i="2"/>
  <c r="J37" i="2"/>
  <c r="J38" i="2"/>
  <c r="J39" i="2"/>
  <c r="J40" i="2"/>
  <c r="J41" i="2"/>
  <c r="I33" i="2"/>
  <c r="I34" i="2"/>
  <c r="I35" i="2"/>
  <c r="I36" i="2"/>
  <c r="I37" i="2"/>
  <c r="I38" i="2"/>
  <c r="I39" i="2"/>
  <c r="I40" i="2"/>
  <c r="I41" i="2"/>
  <c r="J7" i="2"/>
  <c r="J8" i="2"/>
  <c r="J9" i="2"/>
  <c r="J10" i="2"/>
  <c r="J11" i="2"/>
  <c r="J12" i="2"/>
  <c r="J13" i="2"/>
  <c r="I7" i="2"/>
  <c r="I8" i="2"/>
  <c r="I9" i="2"/>
  <c r="I10" i="2"/>
  <c r="I11" i="2"/>
  <c r="I12" i="2"/>
  <c r="I13" i="2"/>
  <c r="J17" i="2"/>
  <c r="J18" i="2"/>
  <c r="J19" i="2"/>
  <c r="J20" i="2"/>
  <c r="J21" i="2"/>
  <c r="J22" i="2"/>
  <c r="J23" i="2"/>
  <c r="J24" i="2"/>
  <c r="J25" i="2"/>
  <c r="J26" i="2"/>
  <c r="J27" i="2"/>
  <c r="J28" i="2"/>
  <c r="I17" i="2"/>
  <c r="I18" i="2"/>
  <c r="I19" i="2"/>
  <c r="I20" i="2"/>
  <c r="I21" i="2"/>
  <c r="I22" i="2"/>
  <c r="I23" i="2"/>
  <c r="I24" i="2"/>
  <c r="I25" i="2"/>
  <c r="I26" i="2"/>
  <c r="I27" i="2"/>
  <c r="I28" i="2"/>
  <c r="Q34" i="8"/>
  <c r="Q35" i="8"/>
  <c r="Q36" i="8"/>
  <c r="Q37" i="8"/>
  <c r="M34" i="8"/>
  <c r="M35" i="8"/>
  <c r="M36" i="8"/>
  <c r="M37" i="8"/>
  <c r="M33" i="8"/>
  <c r="M14" i="8"/>
  <c r="Q14" i="8"/>
  <c r="M15" i="8"/>
  <c r="Q15" i="8"/>
  <c r="M16" i="8"/>
  <c r="Q16" i="8"/>
  <c r="M17" i="8"/>
  <c r="Q17" i="8"/>
  <c r="Q13" i="8"/>
  <c r="M13" i="8"/>
  <c r="AH59" i="9"/>
  <c r="AH37" i="9"/>
  <c r="AI81" i="9"/>
  <c r="M139" i="1"/>
  <c r="AH56" i="9"/>
  <c r="AH34" i="9"/>
  <c r="AI56" i="9"/>
  <c r="AI34" i="9"/>
  <c r="AH53" i="9"/>
  <c r="AH31" i="9"/>
  <c r="AI53" i="9"/>
  <c r="AI31" i="9"/>
  <c r="D13" i="3"/>
  <c r="AG59" i="9"/>
  <c r="AG37" i="9"/>
  <c r="AG56" i="9"/>
  <c r="AG34" i="9"/>
  <c r="B20" i="3"/>
  <c r="AG53" i="9"/>
  <c r="AG31" i="9"/>
  <c r="V59" i="9"/>
  <c r="V37" i="9"/>
  <c r="W81" i="9"/>
  <c r="I139" i="1"/>
  <c r="V34" i="9"/>
  <c r="V56" i="9"/>
  <c r="W34" i="9"/>
  <c r="W56" i="9"/>
  <c r="U59" i="9"/>
  <c r="U37" i="9"/>
  <c r="V31" i="9"/>
  <c r="V53" i="9"/>
  <c r="W31" i="9"/>
  <c r="W53" i="9"/>
  <c r="U31" i="9"/>
  <c r="U53" i="9"/>
  <c r="AB67" i="8"/>
  <c r="R67" i="8"/>
  <c r="J59" i="9"/>
  <c r="J37" i="9"/>
  <c r="I59" i="9"/>
  <c r="I37" i="9"/>
  <c r="K56" i="9"/>
  <c r="K34" i="9"/>
  <c r="J56" i="9"/>
  <c r="J34" i="9"/>
  <c r="I56" i="9"/>
  <c r="E16" i="3"/>
  <c r="I34" i="9"/>
  <c r="K53" i="9"/>
  <c r="K31" i="9"/>
  <c r="J53" i="9"/>
  <c r="C5" i="3"/>
  <c r="J31" i="9"/>
  <c r="I53" i="9"/>
  <c r="B18" i="3"/>
  <c r="B5" i="3"/>
  <c r="B16" i="3"/>
  <c r="I31" i="9"/>
  <c r="D19" i="17"/>
  <c r="C22" i="17"/>
  <c r="D22" i="17"/>
  <c r="D12" i="17"/>
  <c r="C15" i="17"/>
  <c r="D15" i="17"/>
  <c r="D5" i="17"/>
  <c r="C8" i="17"/>
  <c r="D8" i="17"/>
  <c r="H67" i="8"/>
  <c r="K81" i="9"/>
  <c r="E139" i="1" s="1"/>
  <c r="B2" i="23"/>
  <c r="C15" i="24"/>
  <c r="G39" i="9" l="1"/>
  <c r="S16" i="9"/>
  <c r="AE64" i="9"/>
  <c r="G62" i="9"/>
  <c r="G64" i="9"/>
  <c r="AE63" i="9"/>
  <c r="G15" i="9"/>
  <c r="S61" i="9"/>
  <c r="S63" i="9"/>
  <c r="I81" i="9"/>
  <c r="C139" i="1" s="1"/>
  <c r="G16" i="9"/>
  <c r="S53" i="9"/>
  <c r="S55" i="9"/>
  <c r="AE58" i="9"/>
  <c r="S7" i="9"/>
  <c r="AE31" i="9"/>
  <c r="AE33" i="9"/>
  <c r="AE35" i="9"/>
  <c r="S56" i="9"/>
  <c r="G33" i="9"/>
  <c r="G35" i="9"/>
  <c r="S8" i="9"/>
  <c r="S10" i="9"/>
  <c r="AE8" i="9"/>
  <c r="AE10" i="9"/>
  <c r="S31" i="9"/>
  <c r="S33" i="9"/>
  <c r="S35" i="9"/>
  <c r="AE36" i="9"/>
  <c r="S57" i="9"/>
  <c r="G36" i="9"/>
  <c r="AE39" i="9"/>
  <c r="G61" i="9"/>
  <c r="S17" i="9"/>
  <c r="AE15" i="9"/>
  <c r="AE17" i="9"/>
  <c r="AG81" i="9"/>
  <c r="K139" i="1" s="1"/>
  <c r="I75" i="9"/>
  <c r="C135" i="1" s="1"/>
  <c r="U81" i="9"/>
  <c r="G139" i="1" s="1"/>
  <c r="G40" i="9"/>
  <c r="S15" i="9"/>
  <c r="S40" i="9"/>
  <c r="AE41" i="9"/>
  <c r="G14" i="9"/>
  <c r="G41" i="9"/>
  <c r="S62" i="9"/>
  <c r="AE61" i="9"/>
  <c r="S39" i="9"/>
  <c r="AE40" i="9"/>
  <c r="AE42" i="9"/>
  <c r="AH81" i="9"/>
  <c r="L139" i="1" s="1"/>
  <c r="G42" i="9"/>
  <c r="AE14" i="9"/>
  <c r="AE62" i="9"/>
  <c r="V81" i="9"/>
  <c r="H139" i="1" s="1"/>
  <c r="G17" i="9"/>
  <c r="G63" i="9"/>
  <c r="S42" i="9"/>
  <c r="J81" i="9"/>
  <c r="D139" i="1" s="1"/>
  <c r="S14" i="9"/>
  <c r="AE16" i="9"/>
  <c r="S41" i="9"/>
  <c r="S64" i="9"/>
  <c r="I78" i="9"/>
  <c r="C137" i="1" s="1"/>
  <c r="AE56" i="9"/>
  <c r="G11" i="9"/>
  <c r="V78" i="9"/>
  <c r="H137" i="1" s="1"/>
  <c r="G34" i="9"/>
  <c r="G53" i="9"/>
  <c r="G55" i="9"/>
  <c r="G57" i="9"/>
  <c r="AE53" i="9"/>
  <c r="AE55" i="9"/>
  <c r="AE57" i="9"/>
  <c r="J78" i="9"/>
  <c r="D137" i="1" s="1"/>
  <c r="AG75" i="9"/>
  <c r="K135" i="1" s="1"/>
  <c r="AH78" i="9"/>
  <c r="L137" i="1" s="1"/>
  <c r="J75" i="9"/>
  <c r="D135" i="1" s="1"/>
  <c r="AE7" i="9"/>
  <c r="AE54" i="9"/>
  <c r="K75" i="9"/>
  <c r="E135" i="1" s="1"/>
  <c r="G10" i="9"/>
  <c r="G8" i="9"/>
  <c r="AE6" i="9"/>
  <c r="S54" i="9"/>
  <c r="S58" i="9"/>
  <c r="W75" i="9"/>
  <c r="I135" i="1" s="1"/>
  <c r="W78" i="9"/>
  <c r="I137" i="1" s="1"/>
  <c r="G6" i="9"/>
  <c r="S9" i="9"/>
  <c r="S36" i="9"/>
  <c r="G9" i="9"/>
  <c r="G56" i="9"/>
  <c r="G58" i="9"/>
  <c r="AH75" i="9"/>
  <c r="L135" i="1" s="1"/>
  <c r="S6" i="9"/>
  <c r="S32" i="9"/>
  <c r="S34" i="9"/>
  <c r="AE32" i="9"/>
  <c r="AE34" i="9"/>
  <c r="V75" i="9"/>
  <c r="H135" i="1" s="1"/>
  <c r="G31" i="9"/>
  <c r="AE9" i="9"/>
  <c r="G7" i="9"/>
  <c r="AI78" i="9"/>
  <c r="M137" i="1" s="1"/>
  <c r="G54" i="9"/>
  <c r="U75" i="9"/>
  <c r="G135" i="1" s="1"/>
  <c r="U78" i="9"/>
  <c r="G137" i="1" s="1"/>
  <c r="K78" i="9"/>
  <c r="E137" i="1" s="1"/>
  <c r="AG78" i="9"/>
  <c r="K137" i="1" s="1"/>
  <c r="AI75" i="9"/>
  <c r="M135" i="1" s="1"/>
  <c r="G32" i="9"/>
  <c r="S11" i="9"/>
  <c r="S47" i="9" l="1"/>
  <c r="AE47" i="9"/>
  <c r="G25" i="9"/>
  <c r="AE69" i="9"/>
  <c r="AE25" i="9"/>
  <c r="S69" i="9"/>
  <c r="G47" i="9"/>
  <c r="G69" i="9"/>
  <c r="S25" i="9"/>
  <c r="G72" i="9" l="1"/>
  <c r="C22" i="1" s="1"/>
  <c r="E22" i="1" s="1"/>
  <c r="E50" i="1" s="1"/>
  <c r="E60" i="1" s="1"/>
  <c r="AE72" i="9"/>
  <c r="K22" i="1" s="1"/>
  <c r="D3" i="23" s="1"/>
  <c r="S72" i="9"/>
  <c r="G22" i="1" s="1"/>
  <c r="G50" i="1" s="1"/>
  <c r="G60" i="1" s="1"/>
  <c r="B3" i="23" l="1"/>
  <c r="C50" i="1"/>
  <c r="C60" i="1" s="1"/>
  <c r="C103" i="1" s="1"/>
  <c r="D22" i="1"/>
  <c r="M22" i="1"/>
  <c r="M50" i="1" s="1"/>
  <c r="M60" i="1" s="1"/>
  <c r="L22" i="1"/>
  <c r="I22" i="1"/>
  <c r="I50" i="1" s="1"/>
  <c r="I60" i="1" s="1"/>
  <c r="H22" i="1"/>
  <c r="C3" i="23"/>
  <c r="K50" i="1"/>
  <c r="K51" i="1" s="1"/>
  <c r="M51" i="1" s="1"/>
  <c r="K2" i="23"/>
  <c r="K8" i="23" s="1"/>
  <c r="G51" i="1"/>
  <c r="I51" i="1" s="1"/>
  <c r="G103" i="1"/>
  <c r="G61" i="1"/>
  <c r="K4" i="23"/>
  <c r="G104" i="1"/>
  <c r="F5" i="24"/>
  <c r="G70" i="1"/>
  <c r="G84" i="1"/>
  <c r="F4" i="24"/>
  <c r="C104" i="1"/>
  <c r="C61" i="1" l="1"/>
  <c r="C96" i="1" s="1"/>
  <c r="C70" i="1"/>
  <c r="C84" i="1"/>
  <c r="J4" i="23"/>
  <c r="C51" i="1"/>
  <c r="E51" i="1" s="1"/>
  <c r="J2" i="23"/>
  <c r="J8" i="23" s="1"/>
  <c r="K60" i="1"/>
  <c r="K84" i="1" s="1"/>
  <c r="L2" i="23"/>
  <c r="L8" i="23" s="1"/>
  <c r="E61" i="1"/>
  <c r="G107" i="1"/>
  <c r="I70" i="1"/>
  <c r="D53" i="19"/>
  <c r="D52" i="19"/>
  <c r="G78" i="1"/>
  <c r="G111" i="1"/>
  <c r="G71" i="1"/>
  <c r="D49" i="19"/>
  <c r="D48" i="19"/>
  <c r="G108" i="1"/>
  <c r="G112" i="1"/>
  <c r="C112" i="1"/>
  <c r="E70" i="1"/>
  <c r="B52" i="19"/>
  <c r="C78" i="1"/>
  <c r="C71" i="1"/>
  <c r="C111" i="1"/>
  <c r="B49" i="19"/>
  <c r="C107" i="1"/>
  <c r="B48" i="19"/>
  <c r="C108" i="1"/>
  <c r="B53" i="19"/>
  <c r="G96" i="1"/>
  <c r="I61" i="1"/>
  <c r="K61" i="1" l="1"/>
  <c r="K96" i="1" s="1"/>
  <c r="K103" i="1"/>
  <c r="K70" i="1"/>
  <c r="F48" i="19" s="1"/>
  <c r="K104" i="1"/>
  <c r="L4" i="23"/>
  <c r="F6" i="24"/>
  <c r="C9" i="24" s="1"/>
  <c r="K107" i="1"/>
  <c r="M70" i="1"/>
  <c r="F49" i="19"/>
  <c r="K78" i="1"/>
  <c r="K115" i="1" s="1"/>
  <c r="F52" i="19"/>
  <c r="K112" i="1"/>
  <c r="F53" i="19"/>
  <c r="C79" i="1"/>
  <c r="E79" i="1" s="1"/>
  <c r="C115" i="1"/>
  <c r="E78" i="1"/>
  <c r="C116" i="1"/>
  <c r="I71" i="1"/>
  <c r="D40" i="19"/>
  <c r="E71" i="1"/>
  <c r="B40" i="19"/>
  <c r="G115" i="1"/>
  <c r="G79" i="1"/>
  <c r="I79" i="1" s="1"/>
  <c r="I78" i="1"/>
  <c r="G116" i="1"/>
  <c r="K71" i="1" l="1"/>
  <c r="M71" i="1" s="1"/>
  <c r="K111" i="1"/>
  <c r="M61" i="1"/>
  <c r="K108" i="1"/>
  <c r="M78" i="1"/>
  <c r="F40" i="19"/>
  <c r="F44" i="19" s="1"/>
  <c r="K116" i="1"/>
  <c r="K79" i="1"/>
  <c r="M79" i="1" s="1"/>
  <c r="E40" i="19"/>
  <c r="E44" i="19" s="1"/>
  <c r="D44" i="19"/>
  <c r="B44" i="19"/>
  <c r="C40" i="19"/>
  <c r="C44" i="19" s="1"/>
  <c r="G40" i="19" l="1"/>
  <c r="G44" i="19" s="1"/>
</calcChain>
</file>

<file path=xl/sharedStrings.xml><?xml version="1.0" encoding="utf-8"?>
<sst xmlns="http://schemas.openxmlformats.org/spreadsheetml/2006/main" count="3123" uniqueCount="814">
  <si>
    <t>Pounds per Material</t>
  </si>
  <si>
    <t>Macronutrients</t>
  </si>
  <si>
    <t>Nitrogen</t>
  </si>
  <si>
    <t>Phosphorus</t>
  </si>
  <si>
    <t>Potassium</t>
  </si>
  <si>
    <t>Sulfur</t>
  </si>
  <si>
    <t>Magnesium</t>
  </si>
  <si>
    <t>Calcium</t>
  </si>
  <si>
    <t>Zinc</t>
  </si>
  <si>
    <t>Boron</t>
  </si>
  <si>
    <t>Unit Size</t>
  </si>
  <si>
    <t>Units</t>
  </si>
  <si>
    <t>Units/Pkg</t>
  </si>
  <si>
    <t>None</t>
  </si>
  <si>
    <t>UAN 28% (28-0-0)</t>
  </si>
  <si>
    <t>gal</t>
  </si>
  <si>
    <t>Tons</t>
  </si>
  <si>
    <t>Ammonium polyphosphate (10-34-0)</t>
  </si>
  <si>
    <t>Urea (46-0-0)</t>
  </si>
  <si>
    <t>lbs</t>
  </si>
  <si>
    <t>Potash (0-0-62)</t>
  </si>
  <si>
    <t>Thiosul (12-0-0-26)</t>
  </si>
  <si>
    <t>DAP (18-46-0)</t>
  </si>
  <si>
    <t>AMS (21-0-0-24S)</t>
  </si>
  <si>
    <t>K-Mag (0-0-22-11Mg-21S)</t>
  </si>
  <si>
    <t>Gallons</t>
  </si>
  <si>
    <t>Gypsum (0-0-0-17S-21Ca)</t>
  </si>
  <si>
    <t>Anhydrous (82-0-0)</t>
  </si>
  <si>
    <t>Micronutrients</t>
  </si>
  <si>
    <t>Boron (14.3%)</t>
  </si>
  <si>
    <t>Pound</t>
  </si>
  <si>
    <t>Zinc (35.5%)</t>
  </si>
  <si>
    <t>qts</t>
  </si>
  <si>
    <t>Lime</t>
  </si>
  <si>
    <t>Pelleted Lime</t>
  </si>
  <si>
    <t>Ton</t>
  </si>
  <si>
    <t>tons</t>
  </si>
  <si>
    <t>High Calcium</t>
  </si>
  <si>
    <t>Nitrogen Stabilizers</t>
  </si>
  <si>
    <t>N-Serve</t>
  </si>
  <si>
    <t>ozs</t>
  </si>
  <si>
    <t>Factor</t>
  </si>
  <si>
    <t>qt/ton</t>
  </si>
  <si>
    <t>Nutrisphere</t>
  </si>
  <si>
    <t>Agrotain</t>
  </si>
  <si>
    <t>Instinct</t>
  </si>
  <si>
    <t>Name</t>
  </si>
  <si>
    <t>Selling Unit</t>
  </si>
  <si>
    <t>Rate Unit</t>
  </si>
  <si>
    <t>App Unit</t>
  </si>
  <si>
    <t>qt</t>
  </si>
  <si>
    <t>2,4-D</t>
  </si>
  <si>
    <t>pt</t>
  </si>
  <si>
    <t>Gallon</t>
  </si>
  <si>
    <t>Armezon/Impact</t>
  </si>
  <si>
    <t>oz</t>
  </si>
  <si>
    <t>Ounce</t>
  </si>
  <si>
    <t>Armezon Pro</t>
  </si>
  <si>
    <t>lb</t>
  </si>
  <si>
    <t>Cadet</t>
  </si>
  <si>
    <t>Quart</t>
  </si>
  <si>
    <t>Capreno</t>
  </si>
  <si>
    <t>Corvus</t>
  </si>
  <si>
    <t>Halex GT</t>
  </si>
  <si>
    <t>Lexar EZ</t>
  </si>
  <si>
    <t>Liberty</t>
  </si>
  <si>
    <t>Lumax EZ</t>
  </si>
  <si>
    <t>Outlook</t>
  </si>
  <si>
    <t>Prowl H20</t>
  </si>
  <si>
    <t>Sharpen</t>
  </si>
  <si>
    <t>Verdict</t>
  </si>
  <si>
    <t>Warrant</t>
  </si>
  <si>
    <t>Zidua</t>
  </si>
  <si>
    <t>Ammonium Sulfate</t>
  </si>
  <si>
    <t>Priaxor</t>
  </si>
  <si>
    <t>Stratego YLD</t>
  </si>
  <si>
    <t>Corn</t>
  </si>
  <si>
    <t>Per Acre</t>
  </si>
  <si>
    <t>Loans</t>
  </si>
  <si>
    <t>Acres to Cover Loans:</t>
  </si>
  <si>
    <t>Operating</t>
  </si>
  <si>
    <t>Description</t>
  </si>
  <si>
    <t>Purchase Price</t>
  </si>
  <si>
    <t>Loan Terms (Years)</t>
  </si>
  <si>
    <t>Interest Rate</t>
  </si>
  <si>
    <t>Yearly Payment</t>
  </si>
  <si>
    <t>Interest Payment</t>
  </si>
  <si>
    <t>Interest Payment/Acre</t>
  </si>
  <si>
    <t>Yearly Payment/Acre</t>
  </si>
  <si>
    <t>Revolving Line-of-Credit</t>
  </si>
  <si>
    <t>Seed Financing</t>
  </si>
  <si>
    <t>Chemical Financing</t>
  </si>
  <si>
    <t>Total Cost</t>
  </si>
  <si>
    <t>Capital Purchases</t>
  </si>
  <si>
    <t>Tractor</t>
  </si>
  <si>
    <t>Seed</t>
  </si>
  <si>
    <t>Fertilizer</t>
  </si>
  <si>
    <t>Custom Hire</t>
  </si>
  <si>
    <t>Driver &amp; Equipment Hire</t>
  </si>
  <si>
    <t>Equipment Hire</t>
  </si>
  <si>
    <t>Crop Insurance</t>
  </si>
  <si>
    <t>Freight &amp; Trucking</t>
  </si>
  <si>
    <t>Gas/Fuel</t>
  </si>
  <si>
    <t>Equipment Fuel</t>
  </si>
  <si>
    <t>Drying Propane</t>
  </si>
  <si>
    <t>Repairs &amp; Maintenance</t>
  </si>
  <si>
    <t>Supplies</t>
  </si>
  <si>
    <t>Storage</t>
  </si>
  <si>
    <t>Utilities</t>
  </si>
  <si>
    <t>Irrigation</t>
  </si>
  <si>
    <t>Property Taxes</t>
  </si>
  <si>
    <t>Land</t>
  </si>
  <si>
    <t>N</t>
  </si>
  <si>
    <t>P</t>
  </si>
  <si>
    <t>K</t>
  </si>
  <si>
    <t>S</t>
  </si>
  <si>
    <t>Ca</t>
  </si>
  <si>
    <t>Mg</t>
  </si>
  <si>
    <t>Z</t>
  </si>
  <si>
    <t>B</t>
  </si>
  <si>
    <t>Mn</t>
  </si>
  <si>
    <t>Brand</t>
  </si>
  <si>
    <t>Purchase Units</t>
  </si>
  <si>
    <t>Package Price (Gals, Lbs, etc.)</t>
  </si>
  <si>
    <t>Rate/Acre</t>
  </si>
  <si>
    <t>Cost</t>
  </si>
  <si>
    <t>Acres</t>
  </si>
  <si>
    <t>Fungicides</t>
  </si>
  <si>
    <t>Bushels</t>
  </si>
  <si>
    <t>Repairs</t>
  </si>
  <si>
    <t>Fuel/Electricity</t>
  </si>
  <si>
    <t>Land Purchases</t>
  </si>
  <si>
    <t>Soybeans</t>
  </si>
  <si>
    <t>Wheat</t>
  </si>
  <si>
    <t>Cost/Acre</t>
  </si>
  <si>
    <t>Alfalfa Hay</t>
  </si>
  <si>
    <t>INCOME</t>
  </si>
  <si>
    <t>MAP (11-52-00)</t>
  </si>
  <si>
    <t>Fertilizer Source</t>
  </si>
  <si>
    <t>Total Fertilizer Cost/Acre</t>
  </si>
  <si>
    <t>Starter Fertilizer Cost/Acre</t>
  </si>
  <si>
    <t>Broadcast Fertilizer Cost/Acre</t>
  </si>
  <si>
    <t>Post-Emerge Fertilizer Cost/Acre</t>
  </si>
  <si>
    <t>(Enter Below)</t>
  </si>
  <si>
    <t>Adjuvants</t>
  </si>
  <si>
    <t>Ammonium Sulfate (Liquid)</t>
  </si>
  <si>
    <t>Ammonium Sulfate (Replacement)</t>
  </si>
  <si>
    <t>Methylated Seed Oil (MSO)</t>
  </si>
  <si>
    <t>Crop Oil Concentrate</t>
  </si>
  <si>
    <t>Drift Agent/Spreader</t>
  </si>
  <si>
    <t>Pre-plant/Pre-emergence Chemicals</t>
  </si>
  <si>
    <t>Pre-Plant/Pre-Emergence Chemical Cost/Acre</t>
  </si>
  <si>
    <t>Post-Emergence Chemicals</t>
  </si>
  <si>
    <t>Total Chemical Cost/Acre</t>
  </si>
  <si>
    <t>Insecticides</t>
  </si>
  <si>
    <t>Insecticide (pint rate)</t>
  </si>
  <si>
    <t>Insecticide (ounce rate)</t>
  </si>
  <si>
    <t>Insecticide (pound rate)</t>
  </si>
  <si>
    <t>Insecticide (quart rate)</t>
  </si>
  <si>
    <t>Post-Emergence Chemicals Cost/Acre</t>
  </si>
  <si>
    <t>Atrazine (Liquid)</t>
  </si>
  <si>
    <t>Atrazine (Dry)</t>
  </si>
  <si>
    <t>Balance Flexx</t>
  </si>
  <si>
    <t>Breakfree NXT/Harness/Surpass NXT</t>
  </si>
  <si>
    <t>Callisto</t>
  </si>
  <si>
    <t>Dual II Magnum/Cinch/Parallel</t>
  </si>
  <si>
    <t>Princep</t>
  </si>
  <si>
    <t>Python/Accolade</t>
  </si>
  <si>
    <t>Resolve SG</t>
  </si>
  <si>
    <t>Valor/Rowell</t>
  </si>
  <si>
    <t>Acuron</t>
  </si>
  <si>
    <t>Acuron Flex</t>
  </si>
  <si>
    <t>Anthem Maxx</t>
  </si>
  <si>
    <t>Anthem ATZ</t>
  </si>
  <si>
    <t>Basis Blend</t>
  </si>
  <si>
    <t>Bicip II Magnum/Cinch ATZ/Parallel Plus</t>
  </si>
  <si>
    <t>Breakfree NXT Lite/Degree XTRA/Fultime NXT/Keystone LA NXT</t>
  </si>
  <si>
    <t>Breakfree NXT ATZ/Harness XTRA/Keystone NXT</t>
  </si>
  <si>
    <t>Fierce</t>
  </si>
  <si>
    <t>Harness Max</t>
  </si>
  <si>
    <t>Hornet WDG/Stanza</t>
  </si>
  <si>
    <t>Instigate</t>
  </si>
  <si>
    <t>Prequel</t>
  </si>
  <si>
    <t>Soil Premix</t>
  </si>
  <si>
    <t>Soil</t>
  </si>
  <si>
    <t>Resicore</t>
  </si>
  <si>
    <t>Surestart II/TripleFlex II</t>
  </si>
  <si>
    <t>Zemax</t>
  </si>
  <si>
    <t>Post</t>
  </si>
  <si>
    <t>Accent Q</t>
  </si>
  <si>
    <t>Aim</t>
  </si>
  <si>
    <t>Banvel/Clarity</t>
  </si>
  <si>
    <t>Basagran/Broadloom</t>
  </si>
  <si>
    <t>Beacon</t>
  </si>
  <si>
    <t>Buctril/Moxy</t>
  </si>
  <si>
    <t>DiFlexx</t>
  </si>
  <si>
    <t>Laudis</t>
  </si>
  <si>
    <t>Permit</t>
  </si>
  <si>
    <t>Resource</t>
  </si>
  <si>
    <t>Stinger</t>
  </si>
  <si>
    <t>Callisto XTRA</t>
  </si>
  <si>
    <t>DiFlexx Duo</t>
  </si>
  <si>
    <t>Realm Q</t>
  </si>
  <si>
    <t>Resolve Q</t>
  </si>
  <si>
    <t>Revulin Q</t>
  </si>
  <si>
    <t>Solstice</t>
  </si>
  <si>
    <t>Status</t>
  </si>
  <si>
    <t>Steadfast Q</t>
  </si>
  <si>
    <t>Yukon</t>
  </si>
  <si>
    <t>Callisto GT</t>
  </si>
  <si>
    <t>Expert</t>
  </si>
  <si>
    <t>Sequence</t>
  </si>
  <si>
    <t>Timing</t>
  </si>
  <si>
    <t>Site of Action</t>
  </si>
  <si>
    <t>Post Pre-Mix</t>
  </si>
  <si>
    <t>Glyphosate</t>
  </si>
  <si>
    <t>14/15</t>
  </si>
  <si>
    <t>15/14/5</t>
  </si>
  <si>
    <t>15/27</t>
  </si>
  <si>
    <t>5/27</t>
  </si>
  <si>
    <t>2/27</t>
  </si>
  <si>
    <t>4/27</t>
  </si>
  <si>
    <t>2/4</t>
  </si>
  <si>
    <t>9/27</t>
  </si>
  <si>
    <t>5/9/15</t>
  </si>
  <si>
    <t>9/15/27</t>
  </si>
  <si>
    <t>2/2</t>
  </si>
  <si>
    <t>9/15</t>
  </si>
  <si>
    <t>14/27</t>
  </si>
  <si>
    <t>4/19</t>
  </si>
  <si>
    <t>5</t>
  </si>
  <si>
    <t>27</t>
  </si>
  <si>
    <t>15</t>
  </si>
  <si>
    <t>3</t>
  </si>
  <si>
    <t>2</t>
  </si>
  <si>
    <t>14</t>
  </si>
  <si>
    <t>9</t>
  </si>
  <si>
    <t>5/15/27/27</t>
  </si>
  <si>
    <t>15/27/27</t>
  </si>
  <si>
    <t>15/14</t>
  </si>
  <si>
    <t>5/15</t>
  </si>
  <si>
    <t>Bicip II Magnum Lite/Cinch ATZ Lite</t>
  </si>
  <si>
    <t>5/27/15</t>
  </si>
  <si>
    <t>4/15/27</t>
  </si>
  <si>
    <t>2/4/15</t>
  </si>
  <si>
    <t>27/15</t>
  </si>
  <si>
    <t>Enlist One</t>
  </si>
  <si>
    <t>Enlist Duo</t>
  </si>
  <si>
    <t>4</t>
  </si>
  <si>
    <t>4/9</t>
  </si>
  <si>
    <t>6</t>
  </si>
  <si>
    <t>Total Fertilizer Program</t>
  </si>
  <si>
    <t>Mag</t>
  </si>
  <si>
    <t>(Pounds of Actual Nutrient Per Acre)</t>
  </si>
  <si>
    <t>Adjuvant Help Guide</t>
  </si>
  <si>
    <t>Gallons Per Acre</t>
  </si>
  <si>
    <t>Gallons in Tank</t>
  </si>
  <si>
    <t>=Acres/Tank</t>
  </si>
  <si>
    <t>ounces</t>
  </si>
  <si>
    <t>pints</t>
  </si>
  <si>
    <t>Rate Per Tank (lb)</t>
  </si>
  <si>
    <t>Acres/Tank</t>
  </si>
  <si>
    <t>=Rate/Acre</t>
  </si>
  <si>
    <t>Pounds</t>
  </si>
  <si>
    <t xml:space="preserve">v/v % = </t>
  </si>
  <si>
    <t>[(volume of solute)/</t>
  </si>
  <si>
    <t>(volume of solution)]</t>
  </si>
  <si>
    <t xml:space="preserve"> x 100%</t>
  </si>
  <si>
    <t>=</t>
  </si>
  <si>
    <t>1 pint</t>
  </si>
  <si>
    <t>Rate Per Tank (oz)</t>
  </si>
  <si>
    <t>1 quart</t>
  </si>
  <si>
    <t>2 quarts</t>
  </si>
  <si>
    <t>1 gallon</t>
  </si>
  <si>
    <t>Rate Per Tank (pt)</t>
  </si>
  <si>
    <t>Adjuvant (ounces)</t>
  </si>
  <si>
    <t>Adjuvant (pounds)</t>
  </si>
  <si>
    <t>Adjuvant (pints)</t>
  </si>
  <si>
    <t>(for quarts, multiply by 2)</t>
  </si>
  <si>
    <t>Fungicide Cost/Acre</t>
  </si>
  <si>
    <t>Insecticide Cost/Acre</t>
  </si>
  <si>
    <t>1)</t>
  </si>
  <si>
    <t>Each TAB represents a different expense area for the given farm operation.  Click on a TAB to enter specific expense (or income) information.</t>
  </si>
  <si>
    <t>These include:</t>
  </si>
  <si>
    <t>Variable expenses, such as Fuel, Labor, Repair &amp; Maintenance, etc., are input here.</t>
  </si>
  <si>
    <t>2)</t>
  </si>
  <si>
    <t>Choose the fertilizer from the drop-down menu and enter product/acre to be used.  (i.e. 100lbs/acre of 9-23-30 = 50lbs 18-46-0 &amp; 50lbs 0-0-62lbs)</t>
  </si>
  <si>
    <t>Custom Application</t>
  </si>
  <si>
    <t>Corn Acres</t>
  </si>
  <si>
    <t>Soybean Acres</t>
  </si>
  <si>
    <t>Land Rent</t>
  </si>
  <si>
    <t>Each crop has its own tab (i.e. Fertilizer - Corn)</t>
  </si>
  <si>
    <t>Input Operating Credits, Capital Purchases (i.e. equipment or livestock), or Land/Buildings.</t>
  </si>
  <si>
    <t>Rate Units</t>
  </si>
  <si>
    <t>Fungicide &amp; Insecticide Chemicals</t>
  </si>
  <si>
    <t>Metribuzin</t>
  </si>
  <si>
    <t>Prowl H20/Prowl</t>
  </si>
  <si>
    <t>Poast/Poast Plus</t>
  </si>
  <si>
    <t>Raptor</t>
  </si>
  <si>
    <t>Select Max/Arrow/Select</t>
  </si>
  <si>
    <t>2,4-D Amine</t>
  </si>
  <si>
    <t>2,4-D Ester</t>
  </si>
  <si>
    <t>Affinity Broadspec</t>
  </si>
  <si>
    <t>Axial XL</t>
  </si>
  <si>
    <t>Curtail</t>
  </si>
  <si>
    <t>Express</t>
  </si>
  <si>
    <t>Harmony</t>
  </si>
  <si>
    <t>Harmony Extra</t>
  </si>
  <si>
    <t>Huskie</t>
  </si>
  <si>
    <t>MCPA</t>
  </si>
  <si>
    <t>Nimble</t>
  </si>
  <si>
    <t>Osprey</t>
  </si>
  <si>
    <t>Peak</t>
  </si>
  <si>
    <t>Powerflex HL</t>
  </si>
  <si>
    <t>Puma</t>
  </si>
  <si>
    <t>Quelex</t>
  </si>
  <si>
    <t>Starane Ultra</t>
  </si>
  <si>
    <t>Talinor</t>
  </si>
  <si>
    <t>Widematch</t>
  </si>
  <si>
    <t>1</t>
  </si>
  <si>
    <t>4/4</t>
  </si>
  <si>
    <t>6/27</t>
  </si>
  <si>
    <t>Wheat Chemicals</t>
  </si>
  <si>
    <t>Owner Withdrawal</t>
  </si>
  <si>
    <t>Direct &amp; Overhead Expenses</t>
  </si>
  <si>
    <t>Total Labor</t>
  </si>
  <si>
    <t>Principal</t>
  </si>
  <si>
    <t>Financing by Crop</t>
  </si>
  <si>
    <t>Intermediate Interest Exp.</t>
  </si>
  <si>
    <t>Operating Interest Exp.</t>
  </si>
  <si>
    <t>Intermediate Principal</t>
  </si>
  <si>
    <t>Long-Term Interest Exp.</t>
  </si>
  <si>
    <t>Long-Term Principal</t>
  </si>
  <si>
    <t>Interest</t>
  </si>
  <si>
    <t>OPERATING EXPENSE RATIO</t>
  </si>
  <si>
    <t>Adjuvant rates are based on gallons of water/acre.  The help guide will assist in calculating the rate/acre needed for the Chemical tab.</t>
  </si>
  <si>
    <t>Financial Scorecard</t>
  </si>
  <si>
    <t>0 - 60%</t>
  </si>
  <si>
    <t>60 - 80%</t>
  </si>
  <si>
    <t>80 - 100%</t>
  </si>
  <si>
    <t>Use the Rate/Acre information on the Chemicals expense Tab</t>
  </si>
  <si>
    <r>
      <t xml:space="preserve">Only items that are colored in </t>
    </r>
    <r>
      <rPr>
        <b/>
        <sz val="12"/>
        <color theme="4" tint="-0.249977111117893"/>
        <rFont val="Calibri"/>
        <family val="2"/>
        <scheme val="minor"/>
      </rPr>
      <t>BLUE</t>
    </r>
    <r>
      <rPr>
        <b/>
        <sz val="12"/>
        <color theme="1"/>
        <rFont val="Calibri"/>
        <family val="2"/>
        <scheme val="minor"/>
      </rPr>
      <t xml:space="preserve"> should be altered in each TAB.  Changing the value of an item not marked </t>
    </r>
    <r>
      <rPr>
        <b/>
        <sz val="12"/>
        <color theme="4" tint="-0.249977111117893"/>
        <rFont val="Calibri"/>
        <family val="2"/>
        <scheme val="minor"/>
      </rPr>
      <t>BLUE</t>
    </r>
    <r>
      <rPr>
        <b/>
        <sz val="12"/>
        <color theme="1"/>
        <rFont val="Calibri"/>
        <family val="2"/>
        <scheme val="minor"/>
      </rPr>
      <t xml:space="preserve"> can cause the formulas in the spreadsheet to stop working.</t>
    </r>
  </si>
  <si>
    <t>Michigan State University Extension</t>
  </si>
  <si>
    <t>Template by: Jon LaPorte, Farm Management Educator</t>
  </si>
  <si>
    <r>
      <t xml:space="preserve">Herbicides </t>
    </r>
    <r>
      <rPr>
        <b/>
        <i/>
        <sz val="10"/>
        <color theme="4" tint="-0.249977111117893"/>
        <rFont val="Calibri"/>
        <family val="2"/>
        <scheme val="minor"/>
      </rPr>
      <t>(drop down menu)</t>
    </r>
  </si>
  <si>
    <r>
      <t xml:space="preserve">Adjuvants </t>
    </r>
    <r>
      <rPr>
        <b/>
        <i/>
        <sz val="10"/>
        <color theme="4" tint="-0.249977111117893"/>
        <rFont val="Calibri"/>
        <family val="2"/>
        <scheme val="minor"/>
      </rPr>
      <t>(drop down menu)</t>
    </r>
  </si>
  <si>
    <r>
      <t xml:space="preserve">Fungicides </t>
    </r>
    <r>
      <rPr>
        <b/>
        <i/>
        <sz val="10"/>
        <color theme="4" tint="-0.249977111117893"/>
        <rFont val="Calibri"/>
        <family val="2"/>
        <scheme val="minor"/>
      </rPr>
      <t>(drop down menu)</t>
    </r>
  </si>
  <si>
    <r>
      <t xml:space="preserve">Insecticides </t>
    </r>
    <r>
      <rPr>
        <b/>
        <i/>
        <sz val="10"/>
        <color theme="4" tint="-0.249977111117893"/>
        <rFont val="Calibri"/>
        <family val="2"/>
        <scheme val="minor"/>
      </rPr>
      <t>(drop down menu)</t>
    </r>
  </si>
  <si>
    <r>
      <t>Macronutrients</t>
    </r>
    <r>
      <rPr>
        <b/>
        <i/>
        <sz val="12"/>
        <color theme="4" tint="-0.249977111117893"/>
        <rFont val="Calibri"/>
        <family val="2"/>
        <scheme val="minor"/>
      </rPr>
      <t xml:space="preserve"> </t>
    </r>
    <r>
      <rPr>
        <b/>
        <i/>
        <sz val="10"/>
        <color theme="4" tint="-0.249977111117893"/>
        <rFont val="Calibri"/>
        <family val="2"/>
        <scheme val="minor"/>
      </rPr>
      <t>(drop down menu)</t>
    </r>
  </si>
  <si>
    <r>
      <t>Micronutrients</t>
    </r>
    <r>
      <rPr>
        <b/>
        <i/>
        <sz val="12"/>
        <color theme="9" tint="-0.249977111117893"/>
        <rFont val="Calibri"/>
        <family val="2"/>
        <scheme val="minor"/>
      </rPr>
      <t xml:space="preserve"> </t>
    </r>
    <r>
      <rPr>
        <b/>
        <i/>
        <sz val="10"/>
        <color theme="4" tint="-0.249977111117893"/>
        <rFont val="Calibri"/>
        <family val="2"/>
        <scheme val="minor"/>
      </rPr>
      <t>(drop down menu)</t>
    </r>
  </si>
  <si>
    <r>
      <t>Lime</t>
    </r>
    <r>
      <rPr>
        <b/>
        <i/>
        <sz val="12"/>
        <color theme="9" tint="-0.249977111117893"/>
        <rFont val="Calibri"/>
        <family val="2"/>
        <scheme val="minor"/>
      </rPr>
      <t xml:space="preserve"> </t>
    </r>
    <r>
      <rPr>
        <b/>
        <i/>
        <sz val="10"/>
        <color theme="4" tint="-0.249977111117893"/>
        <rFont val="Calibri"/>
        <family val="2"/>
        <scheme val="minor"/>
      </rPr>
      <t>(drop down menu)</t>
    </r>
  </si>
  <si>
    <r>
      <t>Nitrogen Stabilizers</t>
    </r>
    <r>
      <rPr>
        <b/>
        <i/>
        <sz val="12"/>
        <color theme="9" tint="-0.249977111117893"/>
        <rFont val="Calibri"/>
        <family val="2"/>
        <scheme val="minor"/>
      </rPr>
      <t xml:space="preserve"> </t>
    </r>
    <r>
      <rPr>
        <b/>
        <i/>
        <sz val="10"/>
        <color theme="4" tint="-0.249977111117893"/>
        <rFont val="Calibri"/>
        <family val="2"/>
        <scheme val="minor"/>
      </rPr>
      <t>(drop down menu)</t>
    </r>
  </si>
  <si>
    <t>Nutrients Provided by Fertilizer Plan</t>
  </si>
  <si>
    <t>Crop Miscellaneous</t>
  </si>
  <si>
    <t>Repair, Machinery</t>
  </si>
  <si>
    <t>Repair, Buildings</t>
  </si>
  <si>
    <t>Farm Insurance</t>
  </si>
  <si>
    <t>Crop Chemicals</t>
  </si>
  <si>
    <t>Cash Price</t>
  </si>
  <si>
    <t>Herbicides</t>
  </si>
  <si>
    <t xml:space="preserve">For best results, accrued adjusted expenses should be used.  </t>
  </si>
  <si>
    <t>For example: $15,000 fuel pre-paid for 2018 + $5,000 fuel purchased in 2018 - $10,000 fuel pre-paid for 2019 = $10,000 accrued expense</t>
  </si>
  <si>
    <t>¯</t>
  </si>
  <si>
    <t>More</t>
  </si>
  <si>
    <t>Below</t>
  </si>
  <si>
    <t>Zinc Liquid (12-0-0-12zn)</t>
  </si>
  <si>
    <t>Boron Liquid (0-0-0-10B)</t>
  </si>
  <si>
    <t>Aproach SC</t>
  </si>
  <si>
    <t>Headline SC</t>
  </si>
  <si>
    <t>Evito SC</t>
  </si>
  <si>
    <t>Caramba 0.75 SL</t>
  </si>
  <si>
    <t>Folicur 3.6 F</t>
  </si>
  <si>
    <t>Proline 480 SC</t>
  </si>
  <si>
    <t>Prosaro 421 SC</t>
  </si>
  <si>
    <t>Tilt 3.6 EC</t>
  </si>
  <si>
    <t>Absolute Maxx SC</t>
  </si>
  <si>
    <t>Aproach Prima SC</t>
  </si>
  <si>
    <t>Delaro 325 SC</t>
  </si>
  <si>
    <t>Nexicor EC</t>
  </si>
  <si>
    <t>Preemptor SC</t>
  </si>
  <si>
    <t>Quilt Xcel 2.2 SE</t>
  </si>
  <si>
    <t>Trivapro SE</t>
  </si>
  <si>
    <t>Wheat Fungicides</t>
  </si>
  <si>
    <t>Quadris 2.08 SC</t>
  </si>
  <si>
    <t>Headline 2.09 EC/SC</t>
  </si>
  <si>
    <t>Aproach 2.08 SC</t>
  </si>
  <si>
    <t>Domark 230 ME</t>
  </si>
  <si>
    <t>Trivapro A 0.83 + Trivapro B 2.2 SE</t>
  </si>
  <si>
    <t>Aproach Prima 2.34 SC</t>
  </si>
  <si>
    <t>Fortix/Preemptor 3.22 SC</t>
  </si>
  <si>
    <t>Priaxor 4.17 SC</t>
  </si>
  <si>
    <t>Headline AMP 1.68 SC</t>
  </si>
  <si>
    <t>Stratego  YLD 4.18 SC</t>
  </si>
  <si>
    <t>Affiance 1.5 SC</t>
  </si>
  <si>
    <t>Total depreciation</t>
  </si>
  <si>
    <t>Machinery and equipment</t>
  </si>
  <si>
    <t>Titled vehicles</t>
  </si>
  <si>
    <t>Buildings and improvement</t>
  </si>
  <si>
    <t>Purchases</t>
  </si>
  <si>
    <t>Sales</t>
  </si>
  <si>
    <t>Total Depreciation</t>
  </si>
  <si>
    <t>Income Taxes</t>
  </si>
  <si>
    <t>Principal Payment</t>
  </si>
  <si>
    <t>Total Acres</t>
  </si>
  <si>
    <t>Gross Revenue</t>
  </si>
  <si>
    <t>Total Gross Revenue</t>
  </si>
  <si>
    <r>
      <t xml:space="preserve">NOTE: </t>
    </r>
    <r>
      <rPr>
        <sz val="12"/>
        <color theme="1"/>
        <rFont val="Calibri"/>
        <family val="2"/>
        <scheme val="minor"/>
      </rPr>
      <t>Includes an in-depth assessment of nutrients provided at each application of the farm's fertilizer program.</t>
    </r>
  </si>
  <si>
    <r>
      <t xml:space="preserve">NOTE: </t>
    </r>
    <r>
      <rPr>
        <sz val="12"/>
        <color theme="1"/>
        <rFont val="Calibri"/>
        <family val="2"/>
        <scheme val="minor"/>
      </rPr>
      <t>Includes an in-depth comparison of crop nutrient removal vs. nutrients provided by the farm's fertilizer program.</t>
    </r>
  </si>
  <si>
    <r>
      <t xml:space="preserve">NOTE: </t>
    </r>
    <r>
      <rPr>
        <sz val="12"/>
        <color theme="1"/>
        <rFont val="Calibri"/>
        <family val="2"/>
        <scheme val="minor"/>
      </rPr>
      <t>Includes a quick guide to Sites-of-Action used by the farm's chemical program for evaluating weed resistance management.</t>
    </r>
  </si>
  <si>
    <t>Input the prices for fertilizer, lime, and nitrogen stabilizers for the Fertilizer Plan</t>
  </si>
  <si>
    <t>Crop Estimating Tool (Detailed Budget)</t>
  </si>
  <si>
    <t>Link to MSU Weed Control Guide</t>
  </si>
  <si>
    <t>See "Loans &amp; Financing (Detailed)" tab for Interest Expense</t>
  </si>
  <si>
    <t>Lannate LV(oz)</t>
  </si>
  <si>
    <t>Lannate LV (lb)</t>
  </si>
  <si>
    <t>Ambush 25W</t>
  </si>
  <si>
    <t>Arctic 3.2 EC</t>
  </si>
  <si>
    <t>Asana XL</t>
  </si>
  <si>
    <t>Baythroid XL</t>
  </si>
  <si>
    <t>Bifenture EC</t>
  </si>
  <si>
    <t>Brigade 2EC</t>
  </si>
  <si>
    <t>Capture 2EC</t>
  </si>
  <si>
    <t>Cobalt</t>
  </si>
  <si>
    <t>Dimethoate 267</t>
  </si>
  <si>
    <t>Intrepid 2F</t>
  </si>
  <si>
    <t>Lambda-Cy EC</t>
  </si>
  <si>
    <t>Pounce 3.2 EC</t>
  </si>
  <si>
    <t>Proaxis</t>
  </si>
  <si>
    <t>Sevin 4 F and XLR Plus</t>
  </si>
  <si>
    <t>Lorsban 4E &amp; Advanced</t>
  </si>
  <si>
    <t>Sevin 80S and 80WSP</t>
  </si>
  <si>
    <t>Silencer</t>
  </si>
  <si>
    <t>Tracer</t>
  </si>
  <si>
    <t>Warrior</t>
  </si>
  <si>
    <t>http://msuent.com/assets/pdf/1582SoybeanInsects10.pdf</t>
  </si>
  <si>
    <t>Dimethoate 4EC / 400 (5lb)</t>
  </si>
  <si>
    <t>Dimethoate 4EC / 400 (gal)</t>
  </si>
  <si>
    <t>Malathion ULV</t>
  </si>
  <si>
    <t>Malathion 5EC, 8F and 8 Aquamul</t>
  </si>
  <si>
    <t>Aztec 2.1G</t>
  </si>
  <si>
    <t>Aztec 4.67G</t>
  </si>
  <si>
    <t>Baythroid 2 &amp; XL</t>
  </si>
  <si>
    <t>Capture 1.15 G</t>
  </si>
  <si>
    <t xml:space="preserve">Capture LFR </t>
  </si>
  <si>
    <t>Comite</t>
  </si>
  <si>
    <t>Counter 15G</t>
  </si>
  <si>
    <t>Counter CR</t>
  </si>
  <si>
    <t>Deadline MPs 4% bait</t>
  </si>
  <si>
    <t>Dimethoate 5lb</t>
  </si>
  <si>
    <t>Empower 2</t>
  </si>
  <si>
    <t xml:space="preserve">Entrust </t>
  </si>
  <si>
    <t>Force 3G</t>
  </si>
  <si>
    <t>Fortress 5G</t>
  </si>
  <si>
    <t>Lannate LV</t>
  </si>
  <si>
    <t xml:space="preserve">Lorsban 15G </t>
  </si>
  <si>
    <t>Perm-UP 3.2 EC</t>
  </si>
  <si>
    <t>Pounce 25 WP</t>
  </si>
  <si>
    <t xml:space="preserve">Radiant SC </t>
  </si>
  <si>
    <t>Regent 4SC</t>
  </si>
  <si>
    <t xml:space="preserve">Sevin 4F and XLR Plus </t>
  </si>
  <si>
    <t>Mustang Maxx EC &amp; EW</t>
  </si>
  <si>
    <t>Mustang Maxx EC and EW</t>
  </si>
  <si>
    <t xml:space="preserve">Choose the Herbicide/Adjuvant being used in the drop-down menu.  </t>
  </si>
  <si>
    <t>Insecticides &amp; Fungicides are also included further down this page.</t>
  </si>
  <si>
    <t>Rate/Acre and price paid per package (i.e. $$/Gallon) need to be input manually.</t>
  </si>
  <si>
    <t>Fertilizer Pricing</t>
  </si>
  <si>
    <t>-</t>
  </si>
  <si>
    <t>Accrued expenses = adding pre-paid expenses in the previous year and subtracting pre-paid expenses for next year.</t>
  </si>
  <si>
    <r>
      <rPr>
        <b/>
        <sz val="12"/>
        <color theme="1"/>
        <rFont val="Calibri"/>
        <family val="2"/>
        <scheme val="minor"/>
      </rPr>
      <t xml:space="preserve">NOTE: </t>
    </r>
    <r>
      <rPr>
        <sz val="12"/>
        <color theme="1"/>
        <rFont val="Calibri"/>
        <family val="2"/>
        <scheme val="minor"/>
      </rPr>
      <t>Seed expense is found at the top of this tab.</t>
    </r>
  </si>
  <si>
    <t>For more information on Insecticides, See MSU Bulletin E-1582</t>
  </si>
  <si>
    <t>Link to MSU Bulletin E-1582 (Corn Section)</t>
  </si>
  <si>
    <t>For more information on Herbicides, see the MSU Weed Control Guide</t>
  </si>
  <si>
    <t>Additional Resources:</t>
  </si>
  <si>
    <r>
      <t xml:space="preserve">NOTE: </t>
    </r>
    <r>
      <rPr>
        <sz val="12"/>
        <color theme="1"/>
        <rFont val="Calibri"/>
        <family val="2"/>
        <scheme val="minor"/>
      </rPr>
      <t>Includes links to the MSU Weed Control Guide &amp; MSU Bulletin E-1581 (Insecticide Recommendations)</t>
    </r>
  </si>
  <si>
    <t xml:space="preserve">For more information on Fertilizer Recommendations, see: </t>
  </si>
  <si>
    <t>MSU Bulletin E-2904, Nutrient Recommendations for Field Crops in Michigan</t>
  </si>
  <si>
    <t>Repayment Capacity (Cash Flow) Break-even</t>
  </si>
  <si>
    <t>Break-even $$/Bushel</t>
  </si>
  <si>
    <t xml:space="preserve">Break-even Yield/Acre </t>
  </si>
  <si>
    <t>Depreciation Calculator</t>
  </si>
  <si>
    <t>Break-Even Calculations</t>
  </si>
  <si>
    <t>Fertility Program</t>
  </si>
  <si>
    <t>Beginning Year Value</t>
  </si>
  <si>
    <t>Depreciation Rate</t>
  </si>
  <si>
    <t>Phone: (269) 445-4356          Email: laportej@msu.edu</t>
  </si>
  <si>
    <t>Total</t>
  </si>
  <si>
    <t>Expenses</t>
  </si>
  <si>
    <t>To adjust for Nitrogen Credits, reference:</t>
  </si>
  <si>
    <t>Crop Budget</t>
  </si>
  <si>
    <t>Use the tabs listed below to evaluate a more accurate and detailed plan for the farm.</t>
  </si>
  <si>
    <t>Chemical Plan</t>
  </si>
  <si>
    <t>Fertilizer Plan</t>
  </si>
  <si>
    <t>Loans &amp; Financing</t>
  </si>
  <si>
    <t>Hired Labor</t>
  </si>
  <si>
    <t>Other</t>
  </si>
  <si>
    <t>Marketing</t>
  </si>
  <si>
    <r>
      <t xml:space="preserve">Interest </t>
    </r>
    <r>
      <rPr>
        <sz val="10"/>
        <color theme="1"/>
        <rFont val="Calibri"/>
        <family val="2"/>
        <scheme val="minor"/>
      </rPr>
      <t>(Operating)</t>
    </r>
  </si>
  <si>
    <r>
      <t>Interest</t>
    </r>
    <r>
      <rPr>
        <sz val="10"/>
        <color theme="1"/>
        <rFont val="Calibri"/>
        <family val="2"/>
        <scheme val="minor"/>
      </rPr>
      <t xml:space="preserve"> (Term)</t>
    </r>
  </si>
  <si>
    <t>After Soybeans</t>
  </si>
  <si>
    <t>After Corn</t>
  </si>
  <si>
    <t>After Wheat</t>
  </si>
  <si>
    <t>(drop down menu) -&gt;</t>
  </si>
  <si>
    <t>Drop Down Menu</t>
  </si>
  <si>
    <t>EXPENSE</t>
  </si>
  <si>
    <t>Direct &amp; Fixed</t>
  </si>
  <si>
    <t>Real Estate Taxes</t>
  </si>
  <si>
    <t>Value of Unpaid Labor &amp; Management</t>
  </si>
  <si>
    <t>Labor &amp; Management</t>
  </si>
  <si>
    <t>Value of Farm Production (VFP)</t>
  </si>
  <si>
    <t>VFP + (Unpaid Labor Hours X Hourly Rate)</t>
  </si>
  <si>
    <t>Unpaid Labor</t>
  </si>
  <si>
    <t>Hourly Rate</t>
  </si>
  <si>
    <t>Value of Unpaid Labor &amp; Management Per Crop</t>
  </si>
  <si>
    <t>Value of Unpaid Equity Capital</t>
  </si>
  <si>
    <t>Economic Overhead</t>
  </si>
  <si>
    <t>Total Economic Overhead</t>
  </si>
  <si>
    <t>Total Economic Cost of Production</t>
  </si>
  <si>
    <t>Equity Capital</t>
  </si>
  <si>
    <t>Net Worth (From Balance Sheet)</t>
  </si>
  <si>
    <t>Opportunity Cost (Percentage Rate of Return)</t>
  </si>
  <si>
    <t>Economic (Profit) Break-even</t>
  </si>
  <si>
    <t>Value of Farm Production</t>
  </si>
  <si>
    <t>Capital &amp; Management</t>
  </si>
  <si>
    <t>Unpaid Labor &amp; Management is the value of how much the Farm Manager/Operator is worth to the business (i.e. $40,000)</t>
  </si>
  <si>
    <t>This tab contains the Depreciation, Income Tax, Owner Withdrawal, Unpaid Equity Capital, and Unpaid Labor Management expenses</t>
  </si>
  <si>
    <t>Allocation based on Crop Triggering Payment</t>
  </si>
  <si>
    <t>Government Payments</t>
  </si>
  <si>
    <t>Total Payment =</t>
  </si>
  <si>
    <t>(i.e. CRP, CREP, EQIP, etc.)</t>
  </si>
  <si>
    <t>This tab contains an area to input revenues received from various Government Programs</t>
  </si>
  <si>
    <t>Gov't Payments</t>
  </si>
  <si>
    <t>Total Government Payments</t>
  </si>
  <si>
    <t>Planter</t>
  </si>
  <si>
    <t>Depreciation Value</t>
  </si>
  <si>
    <t>(Beginning Year Value + Purchases - Sales) x Depreciation Rate</t>
  </si>
  <si>
    <t>After Sugar Beets</t>
  </si>
  <si>
    <t>After Dry Beans</t>
  </si>
  <si>
    <t>After Alfalfa</t>
  </si>
  <si>
    <t>Economic Profitability</t>
  </si>
  <si>
    <t>Cash Flow</t>
  </si>
  <si>
    <t>DEPRECIATION EXPENSE RATIO</t>
  </si>
  <si>
    <t>INTEREST EXPENSE RATIO</t>
  </si>
  <si>
    <t>NET FARM INCOME RATIO</t>
  </si>
  <si>
    <t>0 - 5%</t>
  </si>
  <si>
    <t>5 - 10%</t>
  </si>
  <si>
    <t>10% - over</t>
  </si>
  <si>
    <t>0 - 10%</t>
  </si>
  <si>
    <t>10 - 20%</t>
  </si>
  <si>
    <t>20% - over</t>
  </si>
  <si>
    <t>Net Cash Flow</t>
  </si>
  <si>
    <t>Impacts of Opportunity Costs (Labor &amp; Mgmt/Equity Capital)</t>
  </si>
  <si>
    <t>Total Economic Profit</t>
  </si>
  <si>
    <t>/Bushel</t>
  </si>
  <si>
    <t>*Note: these four ratios add up to 100%</t>
  </si>
  <si>
    <t>ImpactZ</t>
  </si>
  <si>
    <t>https://www.canr.msu.edu/uploads/files/AABI/Soybean_Fungicide_efficacy_table_2018_final_MC.pdf</t>
  </si>
  <si>
    <t>Corn Silage</t>
  </si>
  <si>
    <t>/Ton</t>
  </si>
  <si>
    <t>Alfalfa</t>
  </si>
  <si>
    <t>Alfalfa Hay Seeding</t>
  </si>
  <si>
    <t>Crop Budget Estimator (Forages)</t>
  </si>
  <si>
    <t>Corn Silage (acre)</t>
  </si>
  <si>
    <t>Alfalfa Hay (acre)</t>
  </si>
  <si>
    <t>Alfalfa Hay Seeding (acre)</t>
  </si>
  <si>
    <t>Corn Silage (total)</t>
  </si>
  <si>
    <t>Alfalfa Hay (total)</t>
  </si>
  <si>
    <t>ARC/PLC Payments</t>
  </si>
  <si>
    <t>Straight Allocation of ARC/PLC</t>
  </si>
  <si>
    <t>Seedling Chemicals</t>
  </si>
  <si>
    <t>Established Forage Chemicals (early)</t>
  </si>
  <si>
    <t>Established Forage Chemicals (late)</t>
  </si>
  <si>
    <t>Alfalfa Chemicals</t>
  </si>
  <si>
    <t>2,4-DB</t>
  </si>
  <si>
    <t>Eptam</t>
  </si>
  <si>
    <t>8</t>
  </si>
  <si>
    <t>Kerb</t>
  </si>
  <si>
    <t>Established</t>
  </si>
  <si>
    <t>Sinbar</t>
  </si>
  <si>
    <t>Velpar</t>
  </si>
  <si>
    <t>Extreme</t>
  </si>
  <si>
    <t>2/9</t>
  </si>
  <si>
    <t>Serenade ASO</t>
  </si>
  <si>
    <t>Azteroid FC</t>
  </si>
  <si>
    <t>Headline EC/Headline SC</t>
  </si>
  <si>
    <t>Alfalfa Fungicides</t>
  </si>
  <si>
    <t>Alfalfa Insecticides</t>
  </si>
  <si>
    <t>Arctic/Ambush/Pounce</t>
  </si>
  <si>
    <t>Imidan</t>
  </si>
  <si>
    <t>Stallion</t>
  </si>
  <si>
    <t>Voliam Xpress</t>
  </si>
  <si>
    <t>Chateau</t>
  </si>
  <si>
    <t>Sugar Beet Lime</t>
  </si>
  <si>
    <t>After Cover Crops</t>
  </si>
  <si>
    <t>Drop Down Menu (Crop)</t>
  </si>
  <si>
    <t>Grass</t>
  </si>
  <si>
    <t>Crop Insurance Indemnity Payments</t>
  </si>
  <si>
    <t>Corn (acre)</t>
  </si>
  <si>
    <t>Soybean (acre)</t>
  </si>
  <si>
    <t>Wheat (acre)</t>
  </si>
  <si>
    <t>Corn (total)</t>
  </si>
  <si>
    <t>Soybean (total)</t>
  </si>
  <si>
    <t>Wheat (total)</t>
  </si>
  <si>
    <t>Total Insurance Payments</t>
  </si>
  <si>
    <t>MESZ (12-40-0-10S-1Z)</t>
  </si>
  <si>
    <t>Optimizing Profitability</t>
  </si>
  <si>
    <t>Budget Acres</t>
  </si>
  <si>
    <t>Revenue Per Acre</t>
  </si>
  <si>
    <t>Total Direct &amp; Overhead Cost</t>
  </si>
  <si>
    <t>Minimum Costs to Cover</t>
  </si>
  <si>
    <t>&lt;=</t>
  </si>
  <si>
    <r>
      <rPr>
        <sz val="11"/>
        <color theme="1"/>
        <rFont val="Symbol"/>
        <family val="1"/>
        <charset val="2"/>
      </rPr>
      <t>¬</t>
    </r>
    <r>
      <rPr>
        <sz val="11"/>
        <color theme="1"/>
        <rFont val="Calibri"/>
        <family val="2"/>
      </rPr>
      <t xml:space="preserve"> </t>
    </r>
    <r>
      <rPr>
        <sz val="11"/>
        <color theme="1"/>
        <rFont val="Calibri"/>
        <family val="2"/>
        <scheme val="minor"/>
      </rPr>
      <t>Total Cost (goal)</t>
    </r>
  </si>
  <si>
    <t>&gt;=</t>
  </si>
  <si>
    <r>
      <rPr>
        <sz val="11"/>
        <color theme="1"/>
        <rFont val="Symbol"/>
        <family val="1"/>
        <charset val="2"/>
      </rPr>
      <t>¬</t>
    </r>
    <r>
      <rPr>
        <sz val="11"/>
        <color theme="1"/>
        <rFont val="Calibri"/>
        <family val="2"/>
      </rPr>
      <t xml:space="preserve"> </t>
    </r>
    <r>
      <rPr>
        <sz val="11"/>
        <color theme="1"/>
        <rFont val="Calibri"/>
        <family val="2"/>
        <scheme val="minor"/>
      </rPr>
      <t>Maximum acres</t>
    </r>
    <r>
      <rPr>
        <sz val="11"/>
        <color theme="1"/>
        <rFont val="Calibri"/>
        <family val="1"/>
        <charset val="2"/>
        <scheme val="minor"/>
      </rPr>
      <t xml:space="preserve"> allowed</t>
    </r>
  </si>
  <si>
    <t>Maximized Revenue</t>
  </si>
  <si>
    <r>
      <rPr>
        <sz val="11"/>
        <color theme="1"/>
        <rFont val="Symbol"/>
        <family val="1"/>
        <charset val="2"/>
      </rPr>
      <t>¬</t>
    </r>
    <r>
      <rPr>
        <sz val="11"/>
        <color theme="1"/>
        <rFont val="Calibri"/>
        <family val="2"/>
      </rPr>
      <t xml:space="preserve"> Use </t>
    </r>
    <r>
      <rPr>
        <sz val="11"/>
        <color theme="1"/>
        <rFont val="Calibri"/>
        <family val="2"/>
        <scheme val="minor"/>
      </rPr>
      <t>Solver Function</t>
    </r>
  </si>
  <si>
    <t>Optimization Instructions</t>
  </si>
  <si>
    <t>1. Enter the acres for consideration in the Optimizer in column D.  The acres already on the Crop Budget (Main) tab have been provided for comparison.</t>
  </si>
  <si>
    <t>2. Enter the maximum desired Revenue for the farm between all crops in column E.</t>
  </si>
  <si>
    <t xml:space="preserve">3. Enter the minimum goal of acres for each crop in column E.  </t>
  </si>
  <si>
    <t>4. Enter the total acres to be planted across all crops in column E.</t>
  </si>
  <si>
    <t>5. Click on the Maximized Revenue cell in C17 and run the Solver tool (click on Data on the top toolbar).  Solver is pre-programmed, but can be reset using the photo below:</t>
  </si>
  <si>
    <t>6. After running Solver, the acres will be re-adjusted to maximize the revenue of the combined crops (i.e. corn, soybeans, and wheat).</t>
  </si>
  <si>
    <t>Minimum corn silage acres</t>
  </si>
  <si>
    <t>Minimum alfalfa hay acres</t>
  </si>
  <si>
    <t>Minimum alfalfa hay seeding acres</t>
  </si>
  <si>
    <r>
      <rPr>
        <sz val="11"/>
        <color theme="1"/>
        <rFont val="Symbol"/>
        <family val="1"/>
        <charset val="2"/>
      </rPr>
      <t>¬</t>
    </r>
    <r>
      <rPr>
        <sz val="11"/>
        <color theme="1"/>
        <rFont val="Calibri"/>
        <family val="2"/>
      </rPr>
      <t xml:space="preserve"> </t>
    </r>
    <r>
      <rPr>
        <sz val="11"/>
        <color theme="1"/>
        <rFont val="Calibri"/>
        <family val="2"/>
        <scheme val="minor"/>
      </rPr>
      <t>Minimum corn silage acres (goal)</t>
    </r>
  </si>
  <si>
    <r>
      <rPr>
        <sz val="11"/>
        <color theme="1"/>
        <rFont val="Symbol"/>
        <family val="1"/>
        <charset val="2"/>
      </rPr>
      <t>¬</t>
    </r>
    <r>
      <rPr>
        <sz val="11"/>
        <color theme="1"/>
        <rFont val="Calibri"/>
        <family val="2"/>
      </rPr>
      <t xml:space="preserve"> </t>
    </r>
    <r>
      <rPr>
        <sz val="11"/>
        <color theme="1"/>
        <rFont val="Calibri"/>
        <family val="2"/>
        <scheme val="minor"/>
      </rPr>
      <t>Minimum alfalfa hay acres</t>
    </r>
    <r>
      <rPr>
        <sz val="11"/>
        <color theme="1"/>
        <rFont val="Calibri"/>
        <family val="1"/>
        <charset val="2"/>
        <scheme val="minor"/>
      </rPr>
      <t xml:space="preserve"> (goal)</t>
    </r>
  </si>
  <si>
    <r>
      <rPr>
        <sz val="11"/>
        <color theme="1"/>
        <rFont val="Symbol"/>
        <family val="1"/>
        <charset val="2"/>
      </rPr>
      <t>¬</t>
    </r>
    <r>
      <rPr>
        <sz val="11"/>
        <color theme="1"/>
        <rFont val="Calibri"/>
        <family val="2"/>
      </rPr>
      <t xml:space="preserve"> </t>
    </r>
    <r>
      <rPr>
        <sz val="11"/>
        <color theme="1"/>
        <rFont val="Calibri"/>
        <family val="2"/>
        <scheme val="minor"/>
      </rPr>
      <t>Minimum alfalfa hay seeding acres</t>
    </r>
    <r>
      <rPr>
        <sz val="11"/>
        <color theme="1"/>
        <rFont val="Calibri"/>
        <family val="1"/>
        <charset val="2"/>
        <scheme val="minor"/>
      </rPr>
      <t xml:space="preserve"> (goal)</t>
    </r>
  </si>
  <si>
    <t>Variable</t>
  </si>
  <si>
    <t>Fixed</t>
  </si>
  <si>
    <t>Variable &amp; Fixed</t>
  </si>
  <si>
    <t>Other (variable)</t>
  </si>
  <si>
    <r>
      <t>Depreciation</t>
    </r>
    <r>
      <rPr>
        <sz val="10"/>
        <color theme="1"/>
        <rFont val="Calibri"/>
        <family val="2"/>
        <scheme val="minor"/>
      </rPr>
      <t xml:space="preserve"> (Economic)</t>
    </r>
  </si>
  <si>
    <t>Other (fixed)</t>
  </si>
  <si>
    <r>
      <t xml:space="preserve">Other </t>
    </r>
    <r>
      <rPr>
        <sz val="10"/>
        <color theme="1"/>
        <rFont val="Calibri"/>
        <family val="2"/>
        <scheme val="minor"/>
      </rPr>
      <t>(variable &amp; fixed)</t>
    </r>
  </si>
  <si>
    <r>
      <t xml:space="preserve">Interest </t>
    </r>
    <r>
      <rPr>
        <sz val="10"/>
        <color theme="1"/>
        <rFont val="Calibri"/>
        <family val="2"/>
        <scheme val="minor"/>
      </rPr>
      <t>(Oper &amp; Term)</t>
    </r>
  </si>
  <si>
    <t>Cost Comparison Charts</t>
  </si>
  <si>
    <t>Optimization</t>
  </si>
  <si>
    <t>This tab contains an optimization tool that will outline what combination of acres (i.e. corn silage, alfalfa hay, alfalfa hay seeding) will provide the maximum profitability based on the information producers input in the Crop Budget (Main) tab.</t>
  </si>
  <si>
    <t>10-10-10 (dry)</t>
  </si>
  <si>
    <t>12-24-24 (dry)</t>
  </si>
  <si>
    <t>15-15-15 (dry)</t>
  </si>
  <si>
    <t>15-15-2 (liquid)</t>
  </si>
  <si>
    <t>19-19-19 (dry)</t>
  </si>
  <si>
    <t>5-10-5 (dry)</t>
  </si>
  <si>
    <t>6-12-12 (dry)</t>
  </si>
  <si>
    <t>Triple Superphosphate (0-46-0)</t>
  </si>
  <si>
    <t>Potassium Sulphate (0-0-52-18S)</t>
  </si>
  <si>
    <t>9-18-9 (liquid)</t>
  </si>
  <si>
    <r>
      <t>Economic Profit</t>
    </r>
    <r>
      <rPr>
        <i/>
        <sz val="14"/>
        <color rgb="FF18453B"/>
        <rFont val="Calibri"/>
        <family val="2"/>
        <scheme val="minor"/>
      </rPr>
      <t xml:space="preserve"> (Net Cash Flow - Unpaid Labor &amp; Equity)</t>
    </r>
  </si>
  <si>
    <t>Alfalfa/Grass</t>
  </si>
  <si>
    <t>Dry Hay (acre)</t>
  </si>
  <si>
    <t>Dry Hay (total)</t>
  </si>
  <si>
    <t>Haylage (acre)</t>
  </si>
  <si>
    <t>Nutrient Management</t>
  </si>
  <si>
    <t>How much of every $1.00 generated goes to operating costs?</t>
  </si>
  <si>
    <t>How much of every $1.00 generated goes to depreciation costs?</t>
  </si>
  <si>
    <t>How much of every $1.00 generated goes to interest costs?</t>
  </si>
  <si>
    <t>How much of every $1.00 generated is farm income?</t>
  </si>
  <si>
    <t>Use total expenses allocated to each specific crop (i.e. $10,000 to alfalfa, $7,000 to alfalfa/grass, etc.) to determine a per/acre cost.</t>
  </si>
  <si>
    <t xml:space="preserve">Input soil test results, manure nutrient analysis, and compare with nutrient removal rates to determine the total amount of nutrients needed.  </t>
  </si>
  <si>
    <t>This provides detailed information for use with the Fertilizer Plan tab to determine how much commercial fertilizer will need to be applied.</t>
  </si>
  <si>
    <t>Use this information to help determine the amount of commercial fertilizer needed in the Fertilizer Plan tab.</t>
  </si>
  <si>
    <t>Alfalfa Cost</t>
  </si>
  <si>
    <t>Alfalfa/Grass Cost</t>
  </si>
  <si>
    <t>Grass Cost</t>
  </si>
  <si>
    <t>Alfalfa Cost (acre)</t>
  </si>
  <si>
    <t>Alfalfa/Grass Cost (acre)</t>
  </si>
  <si>
    <t>Grass Cost (acre)</t>
  </si>
  <si>
    <t>Alfalfa Cost (total)</t>
  </si>
  <si>
    <t>Alfalfa/Grass Cost (total)</t>
  </si>
  <si>
    <t>Grass Cost (total)</t>
  </si>
  <si>
    <t>Alfalfa (acre)</t>
  </si>
  <si>
    <t>Alfalfa/Grass (acre)</t>
  </si>
  <si>
    <t>Grass (acre)</t>
  </si>
  <si>
    <t>ALFALFA</t>
  </si>
  <si>
    <t>ALFALFA/GRASS</t>
  </si>
  <si>
    <t>GRASS</t>
  </si>
  <si>
    <t>UAN 32% (32-0-0)</t>
  </si>
  <si>
    <t>Variable Costs</t>
  </si>
  <si>
    <t>Fixed Costs</t>
  </si>
  <si>
    <r>
      <t xml:space="preserve">Interest </t>
    </r>
    <r>
      <rPr>
        <sz val="12"/>
        <color theme="1"/>
        <rFont val="Calibri"/>
        <family val="2"/>
        <scheme val="minor"/>
      </rPr>
      <t>(Operating)</t>
    </r>
  </si>
  <si>
    <r>
      <t xml:space="preserve">Depreciation </t>
    </r>
    <r>
      <rPr>
        <sz val="12"/>
        <color theme="1"/>
        <rFont val="Calibri"/>
        <family val="2"/>
        <scheme val="minor"/>
      </rPr>
      <t>(Economic not Taxable)</t>
    </r>
  </si>
  <si>
    <t>Total Fixed Costs</t>
  </si>
  <si>
    <r>
      <t xml:space="preserve">Owner Withdrawal </t>
    </r>
    <r>
      <rPr>
        <sz val="12"/>
        <color theme="1"/>
        <rFont val="Calibri"/>
        <family val="2"/>
        <scheme val="minor"/>
      </rPr>
      <t>(Family Living)</t>
    </r>
  </si>
  <si>
    <r>
      <t xml:space="preserve">Interest </t>
    </r>
    <r>
      <rPr>
        <sz val="12"/>
        <color theme="1"/>
        <rFont val="Calibri"/>
        <family val="2"/>
        <scheme val="minor"/>
      </rPr>
      <t>(Term)</t>
    </r>
  </si>
  <si>
    <t>Financing</t>
  </si>
  <si>
    <t>Total Financing</t>
  </si>
  <si>
    <t>Total Variable, Fixed, and Financing</t>
  </si>
  <si>
    <t>Broadcast Fertilizer</t>
  </si>
  <si>
    <t>Broadcast Fertilizer (Early)</t>
  </si>
  <si>
    <t>Baler</t>
  </si>
  <si>
    <r>
      <t xml:space="preserve">Expected Yield </t>
    </r>
    <r>
      <rPr>
        <i/>
        <sz val="12"/>
        <color theme="1"/>
        <rFont val="Calibri"/>
        <family val="2"/>
        <scheme val="minor"/>
      </rPr>
      <t>(Dry Matter or as Fed)</t>
    </r>
  </si>
  <si>
    <t>Other Income</t>
  </si>
  <si>
    <r>
      <rPr>
        <b/>
        <i/>
        <sz val="14"/>
        <color rgb="FF18453B"/>
        <rFont val="Calibri"/>
        <family val="2"/>
        <scheme val="minor"/>
      </rPr>
      <t>Return Over Variable Costs</t>
    </r>
    <r>
      <rPr>
        <b/>
        <i/>
        <sz val="12"/>
        <color rgb="FF18453B"/>
        <rFont val="Calibri"/>
        <family val="2"/>
        <scheme val="minor"/>
      </rPr>
      <t xml:space="preserve"> </t>
    </r>
  </si>
  <si>
    <t>(Gross Revenue - Variable Costs)</t>
  </si>
  <si>
    <t>Net Farm Income</t>
  </si>
  <si>
    <t>(Gross Revenue - Variable &amp; Fixed Costs)</t>
  </si>
  <si>
    <t xml:space="preserve"> (Net Farm Income - Financing + Depreciation)</t>
  </si>
  <si>
    <t>Enter</t>
  </si>
  <si>
    <t>Manganese</t>
  </si>
  <si>
    <t>Manganese Sulfate</t>
  </si>
  <si>
    <t>Zinc Sulphate</t>
  </si>
  <si>
    <t>Magnesium Sulfate</t>
  </si>
  <si>
    <t>Borosol 10</t>
  </si>
  <si>
    <t>EDTA ZN (9%)</t>
  </si>
  <si>
    <t>Dolometic</t>
  </si>
  <si>
    <t>Example:</t>
  </si>
  <si>
    <t>Post Emergent Chemicals</t>
  </si>
  <si>
    <t>Grass Fungicides</t>
  </si>
  <si>
    <t>Chemical List Tabs (per crop)</t>
  </si>
  <si>
    <r>
      <t xml:space="preserve">The list of chemicals provided in this tool are based on the MSU Weed Guide.  Additional entry spaces are available to include other chemicals not listed in the guide (i.e. generics, pre-mixes, etc.)  </t>
    </r>
    <r>
      <rPr>
        <b/>
        <i/>
        <sz val="12"/>
        <color theme="1"/>
        <rFont val="Calibri"/>
        <family val="2"/>
        <scheme val="minor"/>
      </rPr>
      <t>Note: Alfalfa/Grass uses the Alfalfa Chemical tab.</t>
    </r>
  </si>
  <si>
    <t>Crop Budget Estimator</t>
  </si>
  <si>
    <t>120 N. Broadway, Suite 116, Cassopolis, MI 49031</t>
  </si>
  <si>
    <t>Manure (solid)</t>
  </si>
  <si>
    <t>Manure (liquid)</t>
  </si>
  <si>
    <t>1,000 gal</t>
  </si>
  <si>
    <t>Compost</t>
  </si>
  <si>
    <t>Select Previous Crop</t>
  </si>
  <si>
    <t>Select Option Below</t>
  </si>
  <si>
    <t>Alfalfa, established</t>
  </si>
  <si>
    <t>Nutrient Removal</t>
  </si>
  <si>
    <t>Alfalfa, seeding</t>
  </si>
  <si>
    <t>Soil Test Based Recs</t>
  </si>
  <si>
    <t>Clover, established</t>
  </si>
  <si>
    <t>Clover, seeding</t>
  </si>
  <si>
    <t>Trefoil, established</t>
  </si>
  <si>
    <t>Barley + legume</t>
  </si>
  <si>
    <t>Oats + legume</t>
  </si>
  <si>
    <t>Wheat + legume</t>
  </si>
  <si>
    <t>Clover-grass hay</t>
  </si>
  <si>
    <t>Grass hay</t>
  </si>
  <si>
    <t>Dry edible beans</t>
  </si>
  <si>
    <t>CRP land</t>
  </si>
  <si>
    <t>Days Before Incorporation</t>
  </si>
  <si>
    <t>Retention Factor</t>
  </si>
  <si>
    <t>Manure Nitrogen Multiplier (corn)</t>
  </si>
  <si>
    <t>----</t>
  </si>
  <si>
    <t>0-1 days</t>
  </si>
  <si>
    <t>2-3 days</t>
  </si>
  <si>
    <t>Manure Nitrogen Multiplier (soybeans)</t>
  </si>
  <si>
    <t>4-7 days</t>
  </si>
  <si>
    <t>&gt;7 days</t>
  </si>
  <si>
    <t>Manure Nitrogen Multiplier (wheat)</t>
  </si>
  <si>
    <t>Fertilizer Products &amp; Pricing</t>
  </si>
  <si>
    <t>Soil Test Based Recommendations</t>
  </si>
  <si>
    <t>Enter Farm Name</t>
  </si>
  <si>
    <t>Nutrient Removal Recs</t>
  </si>
  <si>
    <t xml:space="preserve">Nutrients still needed based on starting point of soil test recommendations or nutrient removal rates, minus any manure or nutrient credits. </t>
  </si>
  <si>
    <t>Total Nutrients Needed From Commercial Fertilizer</t>
  </si>
  <si>
    <t xml:space="preserve">Step 7: </t>
  </si>
  <si>
    <t>(Select Below)</t>
  </si>
  <si>
    <t>Input nutrients being credited from legume crops planted in previous year.</t>
  </si>
  <si>
    <r>
      <t xml:space="preserve">For use with Step 6 </t>
    </r>
    <r>
      <rPr>
        <u/>
        <sz val="12"/>
        <color theme="1"/>
        <rFont val="Calibri"/>
        <family val="2"/>
        <scheme val="minor"/>
      </rPr>
      <t>(per MSU Bulletin: E-2904)</t>
    </r>
  </si>
  <si>
    <t>Nutrient Credit: Previous Crop</t>
  </si>
  <si>
    <t xml:space="preserve">Step 6: </t>
  </si>
  <si>
    <t>Input nutrients being provided in manure applications from previous year(s).</t>
  </si>
  <si>
    <t>Nutrient Credit: Manure - Previous Year(s)</t>
  </si>
  <si>
    <t xml:space="preserve">Step 5: </t>
  </si>
  <si>
    <t>*for all liquid and solid manure types</t>
  </si>
  <si>
    <t>If you are using manure or compost, for best results a nutrient analysis is highly recommended.</t>
  </si>
  <si>
    <t>Note:</t>
  </si>
  <si>
    <t>←  See table A4 in Manure Mgmt &amp; Utilization section for approximate manure values in place of nutrient analysis</t>
  </si>
  <si>
    <t>Michigan GAAMPS</t>
  </si>
  <si>
    <t>Manure application methods and nitrogen losses (University of Minnesota)</t>
  </si>
  <si>
    <t>Input nutrients being provided in manure applications "this year" (based on nutrient analysis results).</t>
  </si>
  <si>
    <t>Manure Resources</t>
  </si>
  <si>
    <t>Manure  Application - This Year</t>
  </si>
  <si>
    <t xml:space="preserve">Step 4: </t>
  </si>
  <si>
    <t>Lbs/Acre</t>
  </si>
  <si>
    <t>MSU recommends using soil test-based information to address nutrient needs of your intended yield goals.</t>
  </si>
  <si>
    <t xml:space="preserve">Nutrient removal rates are based on soil nutrients at "maintenance levels."  Soil testing is recommended to confirm maintenance levels exist prior to consideration of removal rates.  </t>
  </si>
  <si>
    <t>Amount of nutrients being removed based on yield goal.</t>
  </si>
  <si>
    <t>Nutrient Recommendation</t>
  </si>
  <si>
    <t xml:space="preserve">Step 3: </t>
  </si>
  <si>
    <t>x 2</t>
  </si>
  <si>
    <t>Pounds (Lbs)</t>
  </si>
  <si>
    <t>PPM</t>
  </si>
  <si>
    <t>PPM to Pounds (Lbs) Conversion Calculator</t>
  </si>
  <si>
    <t>http://cnrc.agron.iastate.edu/</t>
  </si>
  <si>
    <t>Obtained from MSU Fertilizer Recommendation Program, MRTN (Nitrogen) Calculator, Tri-State Recommendations or your local soil lab.</t>
  </si>
  <si>
    <t>Maximum Return to Nitrogen Calculator</t>
  </si>
  <si>
    <t>Soil Test Based Recommendations:</t>
  </si>
  <si>
    <t xml:space="preserve">Step 2: </t>
  </si>
  <si>
    <t>https://www.canr.msu.edu/fertrec/</t>
  </si>
  <si>
    <t>From Crop Budget (Main)</t>
  </si>
  <si>
    <t>MSU Fertilizer Recommendation Program</t>
  </si>
  <si>
    <t>Tri-State Fertilizer Recommendations</t>
  </si>
  <si>
    <t>Yield Goal:</t>
  </si>
  <si>
    <t>Step 1:</t>
  </si>
  <si>
    <t>SuperU (46-0-0)</t>
  </si>
  <si>
    <t>Manure Calculator</t>
  </si>
  <si>
    <t>Manure (Solid)</t>
  </si>
  <si>
    <t>Days of Incorporation %</t>
  </si>
  <si>
    <r>
      <t xml:space="preserve">calculator </t>
    </r>
    <r>
      <rPr>
        <sz val="10"/>
        <color theme="1"/>
        <rFont val="Calibri"/>
        <family val="2"/>
      </rPr>
      <t>→</t>
    </r>
  </si>
  <si>
    <t>←Incorporation Adjustment</t>
  </si>
  <si>
    <t>Manure (Liquid)</t>
  </si>
  <si>
    <r>
      <t xml:space="preserve">*Do </t>
    </r>
    <r>
      <rPr>
        <b/>
        <u/>
        <sz val="12"/>
        <color theme="1"/>
        <rFont val="Calibri"/>
        <family val="2"/>
        <scheme val="minor"/>
      </rPr>
      <t>NOT</t>
    </r>
    <r>
      <rPr>
        <sz val="12"/>
        <color theme="1"/>
        <rFont val="Calibri"/>
        <family val="2"/>
        <scheme val="minor"/>
      </rPr>
      <t xml:space="preserve"> use manure values if already input on Nutrient Management tab.  This will double count values in fertilizer plan.</t>
    </r>
  </si>
  <si>
    <t>Based on Soil Test Based Recommendations from Nutrient Management tab</t>
  </si>
  <si>
    <t>Based on Nutrient Removal from Nutrient Management tab</t>
  </si>
  <si>
    <t>Total Variable Costs</t>
  </si>
  <si>
    <t>Total Variable &amp; Fixed Costs</t>
  </si>
  <si>
    <r>
      <t xml:space="preserve">Net Returns </t>
    </r>
    <r>
      <rPr>
        <b/>
        <sz val="11"/>
        <color theme="1"/>
        <rFont val="Calibri"/>
        <family val="2"/>
        <scheme val="minor"/>
      </rPr>
      <t xml:space="preserve">(Over Variable &amp; Fixed) </t>
    </r>
  </si>
  <si>
    <r>
      <t xml:space="preserve">Repayment Capacity </t>
    </r>
    <r>
      <rPr>
        <b/>
        <sz val="11"/>
        <color theme="1"/>
        <rFont val="Calibri"/>
        <family val="2"/>
        <scheme val="minor"/>
      </rPr>
      <t>(Cash Flow)</t>
    </r>
  </si>
  <si>
    <r>
      <t>Capital Retainment</t>
    </r>
    <r>
      <rPr>
        <b/>
        <sz val="12"/>
        <color theme="1"/>
        <rFont val="Calibri"/>
        <family val="2"/>
        <scheme val="minor"/>
      </rPr>
      <t xml:space="preserve"> </t>
    </r>
    <r>
      <rPr>
        <b/>
        <sz val="11"/>
        <color theme="1"/>
        <rFont val="Calibri"/>
        <family val="2"/>
        <scheme val="minor"/>
      </rPr>
      <t xml:space="preserve">(Net Worth) </t>
    </r>
  </si>
  <si>
    <r>
      <t xml:space="preserve">Total Nutrient Needs </t>
    </r>
    <r>
      <rPr>
        <b/>
        <sz val="12"/>
        <color theme="1"/>
        <rFont val="Calibri"/>
        <family val="2"/>
        <scheme val="minor"/>
      </rPr>
      <t>(Soil Test)</t>
    </r>
  </si>
  <si>
    <r>
      <t xml:space="preserve">Total Nutrient Needs </t>
    </r>
    <r>
      <rPr>
        <b/>
        <sz val="12"/>
        <color theme="1"/>
        <rFont val="Calibri"/>
        <family val="2"/>
        <scheme val="minor"/>
      </rPr>
      <t>(Nutrient Removal)</t>
    </r>
  </si>
  <si>
    <t xml:space="preserve">Alfalfa/Grass Mix Adjustment </t>
  </si>
  <si>
    <t>for Nutrient Removal Rate</t>
  </si>
  <si>
    <t>Manure Applications ---START HERE</t>
  </si>
  <si>
    <r>
      <t xml:space="preserve">Do you plan to include </t>
    </r>
    <r>
      <rPr>
        <b/>
        <sz val="12"/>
        <color theme="1"/>
        <rFont val="Calibri"/>
        <family val="2"/>
        <scheme val="minor"/>
      </rPr>
      <t>manure cost</t>
    </r>
    <r>
      <rPr>
        <sz val="12"/>
        <color theme="1"/>
        <rFont val="Calibri"/>
        <family val="2"/>
        <scheme val="minor"/>
      </rPr>
      <t xml:space="preserve"> in your fertilizer plan?  Go to the </t>
    </r>
    <r>
      <rPr>
        <b/>
        <sz val="12"/>
        <color theme="1"/>
        <rFont val="Calibri"/>
        <family val="2"/>
        <scheme val="minor"/>
      </rPr>
      <t>Fertilizer Products &amp; Pricing</t>
    </r>
    <r>
      <rPr>
        <sz val="12"/>
        <color theme="1"/>
        <rFont val="Calibri"/>
        <family val="2"/>
        <scheme val="minor"/>
      </rPr>
      <t xml:space="preserve"> worksheet</t>
    </r>
  </si>
  <si>
    <r>
      <rPr>
        <b/>
        <i/>
        <sz val="12"/>
        <color theme="1"/>
        <rFont val="Calibri"/>
        <family val="2"/>
        <scheme val="minor"/>
      </rPr>
      <t>Note:</t>
    </r>
    <r>
      <rPr>
        <i/>
        <sz val="12"/>
        <color theme="1"/>
        <rFont val="Calibri"/>
        <family val="2"/>
        <scheme val="minor"/>
      </rPr>
      <t xml:space="preserve"> There is a </t>
    </r>
    <r>
      <rPr>
        <b/>
        <i/>
        <sz val="12"/>
        <color theme="1"/>
        <rFont val="Calibri"/>
        <family val="2"/>
        <scheme val="minor"/>
      </rPr>
      <t>Manure Calculator</t>
    </r>
    <r>
      <rPr>
        <i/>
        <sz val="12"/>
        <color theme="1"/>
        <rFont val="Calibri"/>
        <family val="2"/>
        <scheme val="minor"/>
      </rPr>
      <t xml:space="preserve"> to input nutrient analysis values.  The calculator will adjust values based on selected number of days before manure is expected to be incorporated.  Retention factors used to adjust values are based on 2022 proposed MI GAAMPS charts.</t>
    </r>
  </si>
  <si>
    <r>
      <t xml:space="preserve">Do you plan to include </t>
    </r>
    <r>
      <rPr>
        <b/>
        <sz val="12"/>
        <color theme="1"/>
        <rFont val="Calibri"/>
        <family val="2"/>
        <scheme val="minor"/>
      </rPr>
      <t>only commercial fertilizer products</t>
    </r>
    <r>
      <rPr>
        <sz val="12"/>
        <color theme="1"/>
        <rFont val="Calibri"/>
        <family val="2"/>
        <scheme val="minor"/>
      </rPr>
      <t xml:space="preserve"> in your fertilizer plan?  Go to the </t>
    </r>
    <r>
      <rPr>
        <b/>
        <sz val="12"/>
        <color theme="1"/>
        <rFont val="Calibri"/>
        <family val="2"/>
        <scheme val="minor"/>
      </rPr>
      <t>Nutrient Management</t>
    </r>
    <r>
      <rPr>
        <sz val="12"/>
        <color theme="1"/>
        <rFont val="Calibri"/>
        <family val="2"/>
        <scheme val="minor"/>
      </rPr>
      <t xml:space="preserve"> worksheet</t>
    </r>
  </si>
  <si>
    <r>
      <rPr>
        <b/>
        <i/>
        <sz val="12"/>
        <color theme="1"/>
        <rFont val="Calibri"/>
        <family val="2"/>
        <scheme val="minor"/>
      </rPr>
      <t xml:space="preserve">Note: </t>
    </r>
    <r>
      <rPr>
        <i/>
        <sz val="12"/>
        <color theme="1"/>
        <rFont val="Calibri"/>
        <family val="2"/>
        <scheme val="minor"/>
      </rPr>
      <t>Step 4 provides an area to include values of manure, preferably based on a nutrient analysis.  Values can also be adjusted based on selected number of days before manure is expected to be incorporated.  Retention factors used to adjust values are based on 2022 proposed MI GAAMPS charts.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</si>
</sst>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 numFmtId="166" formatCode="0.0"/>
    <numFmt numFmtId="167" formatCode="0.0%"/>
  </numFmts>
  <fonts count="80">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1"/>
      <color rgb="FFFF0000"/>
      <name val="Calibri"/>
      <family val="2"/>
      <scheme val="minor"/>
    </font>
    <font>
      <b/>
      <sz val="11"/>
      <name val="Calibri"/>
      <family val="2"/>
      <scheme val="minor"/>
    </font>
    <font>
      <b/>
      <sz val="14"/>
      <color theme="1"/>
      <name val="Calibri"/>
      <family val="2"/>
      <scheme val="minor"/>
    </font>
    <font>
      <b/>
      <sz val="16"/>
      <color theme="1"/>
      <name val="Calibri"/>
      <family val="2"/>
      <scheme val="minor"/>
    </font>
    <font>
      <b/>
      <sz val="12"/>
      <name val="Calibri"/>
      <family val="2"/>
      <scheme val="minor"/>
    </font>
    <font>
      <b/>
      <sz val="12"/>
      <color theme="1"/>
      <name val="Calibri"/>
      <family val="2"/>
      <scheme val="minor"/>
    </font>
    <font>
      <sz val="12"/>
      <color rgb="FFFF0000"/>
      <name val="Calibri"/>
      <family val="2"/>
      <scheme val="minor"/>
    </font>
    <font>
      <b/>
      <i/>
      <sz val="12"/>
      <color theme="1"/>
      <name val="Calibri"/>
      <family val="2"/>
      <scheme val="minor"/>
    </font>
    <font>
      <b/>
      <sz val="12"/>
      <color rgb="FFFF0000"/>
      <name val="Calibri"/>
      <family val="2"/>
      <scheme val="minor"/>
    </font>
    <font>
      <sz val="10"/>
      <color theme="1"/>
      <name val="Calibri"/>
      <family val="2"/>
      <scheme val="minor"/>
    </font>
    <font>
      <sz val="14"/>
      <color theme="1"/>
      <name val="Calibri"/>
      <family val="2"/>
      <scheme val="minor"/>
    </font>
    <font>
      <sz val="14"/>
      <color rgb="FFFF0000"/>
      <name val="Calibri"/>
      <family val="2"/>
      <scheme val="minor"/>
    </font>
    <font>
      <sz val="26"/>
      <color theme="1"/>
      <name val="Calibri"/>
      <family val="2"/>
      <scheme val="minor"/>
    </font>
    <font>
      <b/>
      <sz val="20"/>
      <color theme="0"/>
      <name val="Calibri"/>
      <family val="2"/>
      <scheme val="minor"/>
    </font>
    <font>
      <b/>
      <sz val="14"/>
      <color theme="0"/>
      <name val="Calibri"/>
      <family val="2"/>
      <scheme val="minor"/>
    </font>
    <font>
      <b/>
      <sz val="16"/>
      <color theme="0"/>
      <name val="Calibri"/>
      <family val="2"/>
      <scheme val="minor"/>
    </font>
    <font>
      <sz val="12"/>
      <name val="Calibri"/>
      <family val="2"/>
      <scheme val="minor"/>
    </font>
    <font>
      <b/>
      <sz val="12"/>
      <color theme="0"/>
      <name val="Calibri"/>
      <family val="2"/>
      <scheme val="minor"/>
    </font>
    <font>
      <sz val="11"/>
      <name val="Calibri"/>
      <family val="2"/>
      <scheme val="minor"/>
    </font>
    <font>
      <sz val="11"/>
      <color theme="4" tint="-0.249977111117893"/>
      <name val="Calibri"/>
      <family val="2"/>
      <scheme val="minor"/>
    </font>
    <font>
      <sz val="10"/>
      <color rgb="FFFF0000"/>
      <name val="Calibri"/>
      <family val="2"/>
      <scheme val="minor"/>
    </font>
    <font>
      <i/>
      <sz val="12"/>
      <color theme="1"/>
      <name val="Calibri"/>
      <family val="2"/>
      <scheme val="minor"/>
    </font>
    <font>
      <sz val="12"/>
      <color theme="4" tint="-0.249977111117893"/>
      <name val="Calibri"/>
      <family val="2"/>
      <scheme val="minor"/>
    </font>
    <font>
      <sz val="8"/>
      <color theme="4" tint="-0.249977111117893"/>
      <name val="Calibri"/>
      <family val="2"/>
      <scheme val="minor"/>
    </font>
    <font>
      <b/>
      <sz val="12"/>
      <color theme="4" tint="-0.249977111117893"/>
      <name val="Calibri"/>
      <family val="2"/>
      <scheme val="minor"/>
    </font>
    <font>
      <b/>
      <sz val="11"/>
      <color theme="4" tint="-0.249977111117893"/>
      <name val="Calibri"/>
      <family val="2"/>
      <scheme val="minor"/>
    </font>
    <font>
      <b/>
      <i/>
      <sz val="12"/>
      <name val="Calibri"/>
      <family val="2"/>
      <scheme val="minor"/>
    </font>
    <font>
      <sz val="10"/>
      <color theme="4" tint="-0.249977111117893"/>
      <name val="Calibri"/>
      <family val="2"/>
      <scheme val="minor"/>
    </font>
    <font>
      <i/>
      <sz val="12"/>
      <name val="Calibri"/>
      <family val="2"/>
      <scheme val="minor"/>
    </font>
    <font>
      <b/>
      <i/>
      <sz val="12"/>
      <color theme="4" tint="-0.249977111117893"/>
      <name val="Calibri"/>
      <family val="2"/>
      <scheme val="minor"/>
    </font>
    <font>
      <b/>
      <sz val="12"/>
      <color theme="9" tint="-0.249977111117893"/>
      <name val="Calibri"/>
      <family val="2"/>
      <scheme val="minor"/>
    </font>
    <font>
      <b/>
      <u/>
      <sz val="12"/>
      <color theme="1"/>
      <name val="Calibri"/>
      <family val="2"/>
      <scheme val="minor"/>
    </font>
    <font>
      <b/>
      <u/>
      <sz val="12"/>
      <color theme="4" tint="-0.249977111117893"/>
      <name val="Calibri"/>
      <family val="2"/>
      <scheme val="minor"/>
    </font>
    <font>
      <sz val="20"/>
      <color theme="1"/>
      <name val="Calibri"/>
      <family val="2"/>
      <scheme val="minor"/>
    </font>
    <font>
      <b/>
      <i/>
      <sz val="10"/>
      <color theme="4" tint="-0.249977111117893"/>
      <name val="Calibri"/>
      <family val="2"/>
      <scheme val="minor"/>
    </font>
    <font>
      <b/>
      <i/>
      <sz val="12"/>
      <color theme="9" tint="-0.249977111117893"/>
      <name val="Calibri"/>
      <family val="2"/>
      <scheme val="minor"/>
    </font>
    <font>
      <b/>
      <sz val="28"/>
      <color rgb="FF0DB14B"/>
      <name val="Symbol"/>
      <family val="1"/>
      <charset val="2"/>
    </font>
    <font>
      <b/>
      <sz val="12"/>
      <color rgb="FF0DB14B"/>
      <name val="Calibri"/>
      <family val="2"/>
      <scheme val="minor"/>
    </font>
    <font>
      <u/>
      <sz val="11"/>
      <color theme="10"/>
      <name val="Calibri"/>
      <family val="2"/>
      <scheme val="minor"/>
    </font>
    <font>
      <b/>
      <i/>
      <sz val="11"/>
      <color rgb="FFFF0000"/>
      <name val="Calibri"/>
      <family val="2"/>
      <scheme val="minor"/>
    </font>
    <font>
      <b/>
      <i/>
      <sz val="12"/>
      <color rgb="FF18453B"/>
      <name val="Calibri"/>
      <family val="2"/>
      <scheme val="minor"/>
    </font>
    <font>
      <b/>
      <i/>
      <sz val="10"/>
      <color rgb="FF18453B"/>
      <name val="Calibri"/>
      <family val="2"/>
      <scheme val="minor"/>
    </font>
    <font>
      <b/>
      <i/>
      <sz val="11"/>
      <color theme="1"/>
      <name val="Calibri"/>
      <family val="2"/>
      <scheme val="minor"/>
    </font>
    <font>
      <sz val="11"/>
      <color theme="1"/>
      <name val="Calibri"/>
      <family val="1"/>
      <charset val="2"/>
      <scheme val="minor"/>
    </font>
    <font>
      <sz val="11"/>
      <color theme="1"/>
      <name val="Symbol"/>
      <family val="1"/>
      <charset val="2"/>
    </font>
    <font>
      <sz val="11"/>
      <color theme="1"/>
      <name val="Calibri"/>
      <family val="2"/>
    </font>
    <font>
      <b/>
      <i/>
      <sz val="12"/>
      <color theme="0"/>
      <name val="Calibri"/>
      <family val="2"/>
      <scheme val="minor"/>
    </font>
    <font>
      <sz val="12"/>
      <color rgb="FF191919"/>
      <name val="Georgia"/>
      <family val="1"/>
    </font>
    <font>
      <u/>
      <sz val="12"/>
      <color theme="10"/>
      <name val="Calibri"/>
      <family val="2"/>
      <scheme val="minor"/>
    </font>
    <font>
      <b/>
      <i/>
      <sz val="14"/>
      <color theme="1"/>
      <name val="Calibri"/>
      <family val="2"/>
      <scheme val="minor"/>
    </font>
    <font>
      <b/>
      <sz val="14"/>
      <color theme="4" tint="-0.249977111117893"/>
      <name val="Calibri"/>
      <family val="2"/>
      <scheme val="minor"/>
    </font>
    <font>
      <sz val="14"/>
      <color theme="4" tint="-0.249977111117893"/>
      <name val="Calibri"/>
      <family val="2"/>
      <scheme val="minor"/>
    </font>
    <font>
      <sz val="14"/>
      <name val="Calibri"/>
      <family val="2"/>
      <scheme val="minor"/>
    </font>
    <font>
      <i/>
      <sz val="14"/>
      <color theme="1"/>
      <name val="Calibri"/>
      <family val="2"/>
      <scheme val="minor"/>
    </font>
    <font>
      <b/>
      <sz val="14"/>
      <name val="Calibri"/>
      <family val="2"/>
      <scheme val="minor"/>
    </font>
    <font>
      <i/>
      <sz val="14"/>
      <name val="Calibri"/>
      <family val="2"/>
      <scheme val="minor"/>
    </font>
    <font>
      <sz val="14"/>
      <color theme="6" tint="0.59999389629810485"/>
      <name val="Calibri"/>
      <family val="2"/>
      <scheme val="minor"/>
    </font>
    <font>
      <b/>
      <i/>
      <sz val="14"/>
      <color rgb="FF18453B"/>
      <name val="Calibri"/>
      <family val="2"/>
      <scheme val="minor"/>
    </font>
    <font>
      <i/>
      <sz val="14"/>
      <color rgb="FF18453B"/>
      <name val="Calibri"/>
      <family val="2"/>
      <scheme val="minor"/>
    </font>
    <font>
      <b/>
      <i/>
      <sz val="14"/>
      <name val="Calibri"/>
      <family val="2"/>
      <scheme val="minor"/>
    </font>
    <font>
      <b/>
      <sz val="14"/>
      <color rgb="FF0DB14B"/>
      <name val="Calibri"/>
      <family val="2"/>
      <scheme val="minor"/>
    </font>
    <font>
      <b/>
      <sz val="14"/>
      <color rgb="FF0DB14B"/>
      <name val="Symbol"/>
      <family val="1"/>
      <charset val="2"/>
    </font>
    <font>
      <b/>
      <sz val="22"/>
      <color theme="0"/>
      <name val="Calibri"/>
      <family val="2"/>
      <scheme val="minor"/>
    </font>
    <font>
      <b/>
      <sz val="12"/>
      <color rgb="FF18453B"/>
      <name val="Calibri"/>
      <family val="2"/>
      <scheme val="minor"/>
    </font>
    <font>
      <b/>
      <sz val="10"/>
      <color theme="1"/>
      <name val="Calibri"/>
      <family val="2"/>
      <scheme val="minor"/>
    </font>
    <font>
      <b/>
      <sz val="12"/>
      <color rgb="FF0070C0"/>
      <name val="Calibri"/>
      <family val="2"/>
      <scheme val="minor"/>
    </font>
    <font>
      <i/>
      <sz val="11"/>
      <color theme="1"/>
      <name val="Calibri"/>
      <family val="2"/>
      <scheme val="minor"/>
    </font>
    <font>
      <i/>
      <sz val="11"/>
      <name val="Calibri"/>
      <family val="2"/>
      <scheme val="minor"/>
    </font>
    <font>
      <u/>
      <sz val="14"/>
      <color theme="1"/>
      <name val="Calibri"/>
      <family val="2"/>
      <scheme val="minor"/>
    </font>
    <font>
      <u/>
      <sz val="12"/>
      <color theme="1"/>
      <name val="Calibri"/>
      <family val="2"/>
      <scheme val="minor"/>
    </font>
    <font>
      <b/>
      <u/>
      <sz val="14"/>
      <color theme="1"/>
      <name val="Calibri"/>
      <family val="2"/>
      <scheme val="minor"/>
    </font>
    <font>
      <sz val="12"/>
      <color theme="1"/>
      <name val="Calibri"/>
      <family val="2"/>
    </font>
    <font>
      <u/>
      <sz val="14"/>
      <color theme="10"/>
      <name val="Calibri"/>
      <family val="2"/>
      <scheme val="minor"/>
    </font>
    <font>
      <b/>
      <u/>
      <sz val="11"/>
      <color theme="1"/>
      <name val="Calibri"/>
      <family val="2"/>
      <scheme val="minor"/>
    </font>
    <font>
      <sz val="10"/>
      <color theme="1"/>
      <name val="Calibri"/>
      <family val="2"/>
    </font>
    <font>
      <b/>
      <sz val="14"/>
      <color rgb="FF18453B"/>
      <name val="Calibri"/>
      <family val="2"/>
      <scheme val="minor"/>
    </font>
  </fonts>
  <fills count="1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DB14B"/>
        <bgColor indexed="64"/>
      </patternFill>
    </fill>
    <fill>
      <patternFill patternType="solid">
        <fgColor theme="7"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rgb="FF18453B"/>
        <bgColor indexed="64"/>
      </patternFill>
    </fill>
    <fill>
      <patternFill patternType="solid">
        <fgColor theme="9" tint="-0.249977111117893"/>
        <bgColor indexed="64"/>
      </patternFill>
    </fill>
    <fill>
      <patternFill patternType="solid">
        <fgColor rgb="FF7030A0"/>
        <bgColor indexed="64"/>
      </patternFill>
    </fill>
    <fill>
      <patternFill patternType="solid">
        <fgColor rgb="FF00B050"/>
        <bgColor indexed="64"/>
      </patternFill>
    </fill>
  </fills>
  <borders count="7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top/>
      <bottom style="double">
        <color indexed="64"/>
      </bottom>
      <diagonal/>
    </border>
    <border>
      <left style="medium">
        <color indexed="64"/>
      </left>
      <right/>
      <top/>
      <bottom style="double">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indexed="64"/>
      </right>
      <top style="double">
        <color indexed="64"/>
      </top>
      <bottom/>
      <diagonal/>
    </border>
    <border>
      <left style="thin">
        <color indexed="64"/>
      </left>
      <right style="medium">
        <color indexed="64"/>
      </right>
      <top/>
      <bottom style="double">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42" fillId="0" borderId="0" applyNumberFormat="0" applyFill="0" applyBorder="0" applyAlignment="0" applyProtection="0"/>
    <xf numFmtId="43" fontId="1" fillId="0" borderId="0" applyFont="0" applyFill="0" applyBorder="0" applyAlignment="0" applyProtection="0"/>
  </cellStyleXfs>
  <cellXfs count="856">
    <xf numFmtId="0" fontId="0" fillId="0" borderId="0" xfId="0"/>
    <xf numFmtId="44" fontId="0" fillId="0" borderId="0" xfId="0" applyNumberFormat="1"/>
    <xf numFmtId="0" fontId="3" fillId="0" borderId="0" xfId="0" applyFont="1"/>
    <xf numFmtId="2" fontId="0" fillId="0" borderId="0" xfId="0" applyNumberFormat="1"/>
    <xf numFmtId="0" fontId="0" fillId="0" borderId="0" xfId="0" applyAlignment="1">
      <alignment horizontal="center"/>
    </xf>
    <xf numFmtId="49" fontId="0" fillId="0" borderId="0" xfId="0" applyNumberFormat="1" applyAlignment="1">
      <alignment horizontal="center"/>
    </xf>
    <xf numFmtId="0" fontId="0" fillId="0" borderId="0" xfId="0" applyProtection="1">
      <protection locked="0"/>
    </xf>
    <xf numFmtId="9" fontId="7" fillId="0" borderId="0" xfId="0" applyNumberFormat="1" applyFont="1" applyAlignment="1" applyProtection="1">
      <alignment horizontal="center"/>
      <protection locked="0"/>
    </xf>
    <xf numFmtId="0" fontId="0" fillId="0" borderId="5" xfId="0" applyBorder="1"/>
    <xf numFmtId="0" fontId="10" fillId="0" borderId="0" xfId="0" applyFont="1" applyAlignment="1">
      <alignment horizontal="center"/>
    </xf>
    <xf numFmtId="9" fontId="7" fillId="0" borderId="0" xfId="0" applyNumberFormat="1" applyFont="1" applyAlignment="1">
      <alignment horizontal="center"/>
    </xf>
    <xf numFmtId="0" fontId="5" fillId="0" borderId="0" xfId="0" applyFont="1" applyProtection="1">
      <protection locked="0"/>
    </xf>
    <xf numFmtId="0" fontId="22" fillId="0" borderId="0" xfId="0" applyFont="1" applyProtection="1">
      <protection locked="0"/>
    </xf>
    <xf numFmtId="0" fontId="9"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44" fontId="3" fillId="0" borderId="0" xfId="1" applyFont="1" applyFill="1" applyBorder="1" applyAlignment="1" applyProtection="1">
      <alignment horizontal="center"/>
      <protection locked="0"/>
    </xf>
    <xf numFmtId="0" fontId="3" fillId="0" borderId="0" xfId="1" applyNumberFormat="1" applyFont="1" applyFill="1" applyBorder="1" applyAlignment="1" applyProtection="1">
      <alignment horizontal="center"/>
      <protection locked="0"/>
    </xf>
    <xf numFmtId="44" fontId="3" fillId="0" borderId="5" xfId="1" applyFont="1" applyFill="1" applyBorder="1" applyAlignment="1" applyProtection="1">
      <alignment horizontal="right"/>
      <protection locked="0"/>
    </xf>
    <xf numFmtId="44" fontId="3" fillId="0" borderId="0" xfId="1" applyFont="1" applyFill="1" applyBorder="1" applyAlignment="1" applyProtection="1">
      <alignment horizontal="right"/>
      <protection locked="0"/>
    </xf>
    <xf numFmtId="0" fontId="3" fillId="0" borderId="0" xfId="0" applyFont="1" applyAlignment="1" applyProtection="1">
      <alignment horizontal="right"/>
      <protection locked="0"/>
    </xf>
    <xf numFmtId="2" fontId="26" fillId="0" borderId="0" xfId="0" applyNumberFormat="1" applyFont="1" applyAlignment="1" applyProtection="1">
      <alignment horizontal="right"/>
      <protection locked="0"/>
    </xf>
    <xf numFmtId="1" fontId="9" fillId="0" borderId="0" xfId="0" applyNumberFormat="1" applyFont="1" applyAlignment="1" applyProtection="1">
      <alignment horizontal="center"/>
      <protection locked="0"/>
    </xf>
    <xf numFmtId="0" fontId="3" fillId="0" borderId="0" xfId="0" applyFont="1" applyProtection="1">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3" fillId="0" borderId="4" xfId="0" applyFont="1" applyBorder="1"/>
    <xf numFmtId="0" fontId="3" fillId="0" borderId="0" xfId="0" applyFont="1" applyAlignment="1">
      <alignment horizontal="left"/>
    </xf>
    <xf numFmtId="0" fontId="5" fillId="0" borderId="31" xfId="0" applyFont="1" applyBorder="1" applyAlignment="1">
      <alignment horizontal="center"/>
    </xf>
    <xf numFmtId="44" fontId="9" fillId="0" borderId="31" xfId="1" applyFont="1" applyFill="1" applyBorder="1" applyProtection="1"/>
    <xf numFmtId="44" fontId="9" fillId="0" borderId="30" xfId="1" applyFont="1" applyFill="1" applyBorder="1" applyProtection="1"/>
    <xf numFmtId="0" fontId="13" fillId="0" borderId="4" xfId="0" applyFont="1" applyBorder="1" applyAlignment="1">
      <alignment horizontal="left" indent="3"/>
    </xf>
    <xf numFmtId="0" fontId="3" fillId="0" borderId="12" xfId="0" applyFont="1" applyBorder="1"/>
    <xf numFmtId="0" fontId="3" fillId="0" borderId="13" xfId="0" applyFont="1" applyBorder="1" applyAlignment="1">
      <alignment horizontal="left"/>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xf>
    <xf numFmtId="0" fontId="12" fillId="0" borderId="4" xfId="0" applyFont="1" applyBorder="1" applyAlignment="1">
      <alignment horizontal="center"/>
    </xf>
    <xf numFmtId="0" fontId="12" fillId="0" borderId="0" xfId="0" applyFont="1" applyAlignment="1">
      <alignment horizontal="center"/>
    </xf>
    <xf numFmtId="44" fontId="3" fillId="0" borderId="0" xfId="1" applyFont="1" applyFill="1" applyBorder="1" applyAlignment="1" applyProtection="1">
      <alignment horizontal="center"/>
    </xf>
    <xf numFmtId="44" fontId="12" fillId="0" borderId="0" xfId="1" applyFont="1" applyFill="1" applyBorder="1" applyAlignment="1" applyProtection="1">
      <alignment horizontal="right"/>
    </xf>
    <xf numFmtId="0" fontId="3" fillId="0" borderId="0" xfId="1" applyNumberFormat="1" applyFont="1" applyFill="1" applyBorder="1" applyAlignment="1" applyProtection="1">
      <alignment horizontal="center"/>
    </xf>
    <xf numFmtId="2" fontId="10" fillId="0" borderId="0" xfId="0" applyNumberFormat="1" applyFont="1" applyAlignment="1">
      <alignment horizontal="right"/>
    </xf>
    <xf numFmtId="44" fontId="3" fillId="0" borderId="5" xfId="1" applyFont="1" applyFill="1" applyBorder="1" applyAlignment="1" applyProtection="1">
      <alignment horizontal="right"/>
    </xf>
    <xf numFmtId="44" fontId="3" fillId="0" borderId="0" xfId="1" applyFont="1" applyFill="1" applyBorder="1" applyAlignment="1" applyProtection="1">
      <alignment horizontal="right"/>
    </xf>
    <xf numFmtId="0" fontId="12" fillId="0" borderId="4" xfId="0" applyFont="1" applyBorder="1" applyAlignment="1">
      <alignment horizontal="right"/>
    </xf>
    <xf numFmtId="0" fontId="12" fillId="0" borderId="0" xfId="0" applyFont="1" applyAlignment="1">
      <alignment horizontal="right"/>
    </xf>
    <xf numFmtId="0" fontId="3" fillId="0" borderId="0" xfId="0" applyFont="1" applyAlignment="1">
      <alignment horizontal="right"/>
    </xf>
    <xf numFmtId="0" fontId="10" fillId="0" borderId="0" xfId="0" applyFont="1" applyAlignment="1">
      <alignment horizontal="right"/>
    </xf>
    <xf numFmtId="2" fontId="10" fillId="0" borderId="0" xfId="1" applyNumberFormat="1" applyFont="1" applyFill="1" applyBorder="1" applyAlignment="1" applyProtection="1">
      <alignment horizontal="right"/>
    </xf>
    <xf numFmtId="44" fontId="28" fillId="0" borderId="0" xfId="1" applyFont="1" applyFill="1" applyBorder="1" applyAlignment="1" applyProtection="1">
      <alignment horizontal="right"/>
    </xf>
    <xf numFmtId="2" fontId="26" fillId="0" borderId="0" xfId="0" applyNumberFormat="1" applyFont="1" applyAlignment="1">
      <alignment horizontal="right"/>
    </xf>
    <xf numFmtId="1" fontId="9" fillId="0" borderId="4" xfId="0" applyNumberFormat="1" applyFont="1" applyBorder="1" applyAlignment="1">
      <alignment horizontal="center"/>
    </xf>
    <xf numFmtId="1" fontId="9" fillId="0" borderId="0" xfId="0" applyNumberFormat="1" applyFont="1" applyAlignment="1">
      <alignment horizontal="center"/>
    </xf>
    <xf numFmtId="0" fontId="3" fillId="0" borderId="0" xfId="0" applyFont="1" applyAlignment="1">
      <alignment horizontal="center"/>
    </xf>
    <xf numFmtId="0" fontId="3" fillId="0" borderId="5" xfId="0" applyFont="1" applyBorder="1"/>
    <xf numFmtId="0" fontId="16" fillId="0" borderId="0" xfId="0" applyFont="1" applyProtection="1">
      <protection locked="0"/>
    </xf>
    <xf numFmtId="0" fontId="9" fillId="0" borderId="0" xfId="0" applyFont="1" applyAlignment="1" applyProtection="1">
      <alignment horizontal="center"/>
      <protection locked="0"/>
    </xf>
    <xf numFmtId="0" fontId="9" fillId="0" borderId="0" xfId="0" applyFont="1" applyProtection="1">
      <protection locked="0"/>
    </xf>
    <xf numFmtId="2" fontId="9" fillId="0" borderId="0" xfId="0" applyNumberFormat="1" applyFont="1" applyAlignment="1" applyProtection="1">
      <alignment horizontal="center"/>
      <protection locked="0"/>
    </xf>
    <xf numFmtId="0" fontId="9" fillId="0" borderId="0" xfId="0" applyFont="1" applyAlignment="1">
      <alignment horizontal="center"/>
    </xf>
    <xf numFmtId="1" fontId="9" fillId="0" borderId="17" xfId="0" applyNumberFormat="1" applyFont="1" applyBorder="1" applyAlignment="1">
      <alignment horizontal="center"/>
    </xf>
    <xf numFmtId="1" fontId="9" fillId="0" borderId="33" xfId="0" applyNumberFormat="1" applyFont="1" applyBorder="1" applyAlignment="1">
      <alignment horizontal="center"/>
    </xf>
    <xf numFmtId="0" fontId="9" fillId="0" borderId="10" xfId="0" applyFont="1" applyBorder="1"/>
    <xf numFmtId="0" fontId="9" fillId="0" borderId="11" xfId="0" applyFont="1" applyBorder="1"/>
    <xf numFmtId="2" fontId="9" fillId="0" borderId="17" xfId="0" applyNumberFormat="1" applyFont="1" applyBorder="1" applyAlignment="1">
      <alignment horizontal="center"/>
    </xf>
    <xf numFmtId="2" fontId="9" fillId="0" borderId="33" xfId="0" applyNumberFormat="1" applyFont="1" applyBorder="1" applyAlignment="1">
      <alignment horizontal="center"/>
    </xf>
    <xf numFmtId="2" fontId="9" fillId="0" borderId="0" xfId="0" applyNumberFormat="1" applyFont="1" applyAlignment="1">
      <alignment horizontal="center"/>
    </xf>
    <xf numFmtId="8" fontId="0" fillId="0" borderId="0" xfId="0" applyNumberFormat="1" applyProtection="1">
      <protection locked="0"/>
    </xf>
    <xf numFmtId="8" fontId="0" fillId="0" borderId="0" xfId="0" applyNumberFormat="1"/>
    <xf numFmtId="0" fontId="22" fillId="0" borderId="0" xfId="0" applyFont="1"/>
    <xf numFmtId="0" fontId="2" fillId="0" borderId="8" xfId="0" applyFont="1" applyBorder="1" applyAlignment="1">
      <alignment horizontal="center"/>
    </xf>
    <xf numFmtId="8" fontId="8" fillId="0" borderId="0" xfId="1" applyNumberFormat="1" applyFont="1" applyFill="1" applyBorder="1" applyAlignment="1" applyProtection="1">
      <alignment horizontal="center"/>
    </xf>
    <xf numFmtId="0" fontId="4" fillId="0" borderId="0" xfId="0" applyFont="1" applyAlignment="1">
      <alignment horizontal="center"/>
    </xf>
    <xf numFmtId="44" fontId="3" fillId="0" borderId="0" xfId="1" applyFont="1" applyFill="1" applyBorder="1" applyProtection="1"/>
    <xf numFmtId="8" fontId="8" fillId="0" borderId="0" xfId="0" applyNumberFormat="1" applyFont="1" applyAlignment="1">
      <alignment horizontal="center"/>
    </xf>
    <xf numFmtId="2" fontId="31" fillId="0" borderId="0" xfId="0" applyNumberFormat="1" applyFont="1" applyAlignment="1" applyProtection="1">
      <alignment horizontal="right"/>
      <protection locked="0"/>
    </xf>
    <xf numFmtId="2" fontId="31" fillId="0" borderId="0" xfId="0" applyNumberFormat="1" applyFont="1" applyAlignment="1" applyProtection="1">
      <alignment horizontal="center"/>
      <protection locked="0"/>
    </xf>
    <xf numFmtId="2" fontId="31" fillId="0" borderId="0" xfId="0" applyNumberFormat="1" applyFont="1" applyAlignment="1">
      <alignment horizontal="center"/>
    </xf>
    <xf numFmtId="0" fontId="9" fillId="0" borderId="4" xfId="0" applyFont="1" applyBorder="1"/>
    <xf numFmtId="0" fontId="20" fillId="0" borderId="0" xfId="0" applyFont="1" applyAlignment="1">
      <alignment horizontal="center"/>
    </xf>
    <xf numFmtId="0" fontId="8" fillId="0" borderId="0" xfId="0" applyFont="1" applyAlignment="1">
      <alignment horizontal="center"/>
    </xf>
    <xf numFmtId="0" fontId="9" fillId="0" borderId="4" xfId="0" applyFont="1" applyBorder="1" applyAlignment="1">
      <alignment horizontal="center"/>
    </xf>
    <xf numFmtId="0" fontId="9" fillId="0" borderId="4" xfId="0" applyFont="1" applyBorder="1" applyAlignment="1">
      <alignment horizontal="left"/>
    </xf>
    <xf numFmtId="0" fontId="9" fillId="0" borderId="25" xfId="0" applyFont="1" applyBorder="1"/>
    <xf numFmtId="0" fontId="3" fillId="0" borderId="13" xfId="0" applyFont="1" applyBorder="1"/>
    <xf numFmtId="0" fontId="3" fillId="0" borderId="6" xfId="0" applyFont="1" applyBorder="1"/>
    <xf numFmtId="0" fontId="31" fillId="0" borderId="0" xfId="0" applyFont="1" applyAlignment="1">
      <alignment horizontal="center"/>
    </xf>
    <xf numFmtId="0" fontId="9" fillId="0" borderId="7" xfId="0" applyFont="1" applyBorder="1" applyAlignment="1">
      <alignment horizontal="center" vertical="center"/>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3" fillId="0" borderId="0" xfId="0" applyFont="1" applyAlignment="1">
      <alignment horizontal="center" vertical="center"/>
    </xf>
    <xf numFmtId="0" fontId="11" fillId="0" borderId="4" xfId="0" applyFont="1" applyBorder="1" applyAlignment="1">
      <alignment horizontal="center"/>
    </xf>
    <xf numFmtId="0" fontId="11" fillId="0" borderId="0" xfId="0" applyFont="1" applyAlignment="1">
      <alignment horizontal="center"/>
    </xf>
    <xf numFmtId="2" fontId="26" fillId="0" borderId="0" xfId="0" applyNumberFormat="1" applyFont="1" applyAlignment="1">
      <alignment horizontal="center"/>
    </xf>
    <xf numFmtId="2" fontId="10" fillId="0" borderId="0" xfId="0" applyNumberFormat="1" applyFont="1" applyAlignment="1">
      <alignment horizontal="center"/>
    </xf>
    <xf numFmtId="0" fontId="3" fillId="0" borderId="5" xfId="0" applyFont="1" applyBorder="1" applyAlignment="1">
      <alignment horizontal="center" vertical="center"/>
    </xf>
    <xf numFmtId="0" fontId="3" fillId="0" borderId="0" xfId="0" applyFont="1" applyAlignment="1" applyProtection="1">
      <alignment horizontal="center" vertical="center"/>
      <protection locked="0"/>
    </xf>
    <xf numFmtId="2" fontId="10" fillId="0" borderId="0" xfId="0" applyNumberFormat="1" applyFont="1" applyAlignment="1" applyProtection="1">
      <alignment horizontal="center"/>
      <protection locked="0"/>
    </xf>
    <xf numFmtId="44" fontId="26" fillId="0" borderId="0" xfId="1" applyFont="1" applyFill="1" applyBorder="1" applyAlignment="1" applyProtection="1">
      <alignment horizontal="right"/>
    </xf>
    <xf numFmtId="2" fontId="26" fillId="0" borderId="0" xfId="1" applyNumberFormat="1" applyFont="1" applyFill="1" applyBorder="1" applyAlignment="1" applyProtection="1">
      <alignment horizontal="right"/>
    </xf>
    <xf numFmtId="0" fontId="20" fillId="0" borderId="0" xfId="0" applyFont="1" applyAlignment="1">
      <alignment horizontal="right"/>
    </xf>
    <xf numFmtId="0" fontId="11" fillId="0" borderId="4" xfId="0" applyFont="1" applyBorder="1" applyAlignment="1" applyProtection="1">
      <alignment horizontal="center"/>
      <protection locked="0"/>
    </xf>
    <xf numFmtId="0" fontId="34" fillId="0" borderId="0" xfId="0" applyFont="1" applyAlignment="1">
      <alignment horizontal="center"/>
    </xf>
    <xf numFmtId="0" fontId="35" fillId="0" borderId="14" xfId="0" applyFont="1" applyBorder="1"/>
    <xf numFmtId="44" fontId="9" fillId="0" borderId="0" xfId="0" applyNumberFormat="1" applyFont="1" applyProtection="1">
      <protection locked="0"/>
    </xf>
    <xf numFmtId="0" fontId="3" fillId="0" borderId="5" xfId="0" applyFont="1" applyBorder="1" applyAlignment="1" applyProtection="1">
      <alignment horizontal="center" vertical="center"/>
      <protection locked="0"/>
    </xf>
    <xf numFmtId="44" fontId="9" fillId="0" borderId="0" xfId="0" applyNumberFormat="1" applyFont="1"/>
    <xf numFmtId="0" fontId="9" fillId="0" borderId="0" xfId="0" applyFont="1" applyAlignment="1">
      <alignment horizontal="left"/>
    </xf>
    <xf numFmtId="0" fontId="35" fillId="0" borderId="0" xfId="0" applyFont="1"/>
    <xf numFmtId="0" fontId="35" fillId="0" borderId="0" xfId="0" applyFont="1" applyAlignment="1">
      <alignment horizontal="center"/>
    </xf>
    <xf numFmtId="44" fontId="9" fillId="0" borderId="5" xfId="0" applyNumberFormat="1" applyFont="1" applyBorder="1"/>
    <xf numFmtId="0" fontId="3" fillId="0" borderId="13" xfId="0" applyFont="1" applyBorder="1" applyAlignment="1">
      <alignment horizontal="center"/>
    </xf>
    <xf numFmtId="0" fontId="17" fillId="0" borderId="0" xfId="0" applyFont="1" applyAlignment="1">
      <alignment horizontal="center"/>
    </xf>
    <xf numFmtId="0" fontId="37" fillId="0" borderId="0" xfId="0" applyFont="1"/>
    <xf numFmtId="2" fontId="24" fillId="0" borderId="0" xfId="0" applyNumberFormat="1" applyFont="1" applyAlignment="1" applyProtection="1">
      <alignment horizontal="center"/>
      <protection locked="0"/>
    </xf>
    <xf numFmtId="2" fontId="24" fillId="0" borderId="0" xfId="0" applyNumberFormat="1" applyFont="1" applyAlignment="1">
      <alignment horizontal="center"/>
    </xf>
    <xf numFmtId="0" fontId="13" fillId="0" borderId="0" xfId="0" applyFont="1" applyAlignment="1" applyProtection="1">
      <alignment horizontal="right"/>
      <protection locked="0"/>
    </xf>
    <xf numFmtId="44" fontId="20" fillId="0" borderId="0" xfId="1" applyFont="1" applyFill="1" applyBorder="1" applyAlignment="1" applyProtection="1">
      <alignment horizontal="right"/>
    </xf>
    <xf numFmtId="0" fontId="3" fillId="0" borderId="0" xfId="1" applyNumberFormat="1" applyFont="1" applyFill="1" applyBorder="1" applyAlignment="1" applyProtection="1">
      <alignment horizontal="right"/>
      <protection locked="0"/>
    </xf>
    <xf numFmtId="2" fontId="26" fillId="0" borderId="0" xfId="1" applyNumberFormat="1" applyFont="1" applyFill="1" applyBorder="1" applyAlignment="1" applyProtection="1">
      <alignment horizontal="right"/>
      <protection locked="0"/>
    </xf>
    <xf numFmtId="0" fontId="3" fillId="0" borderId="0" xfId="1" applyNumberFormat="1" applyFont="1" applyFill="1" applyBorder="1" applyAlignment="1" applyProtection="1">
      <alignment horizontal="right"/>
    </xf>
    <xf numFmtId="9" fontId="10" fillId="0" borderId="4" xfId="0" applyNumberFormat="1" applyFont="1" applyBorder="1" applyAlignment="1">
      <alignment horizontal="center"/>
    </xf>
    <xf numFmtId="0" fontId="11" fillId="0" borderId="0" xfId="0" applyFont="1" applyAlignment="1" applyProtection="1">
      <alignment horizontal="center"/>
      <protection locked="0"/>
    </xf>
    <xf numFmtId="0" fontId="30" fillId="0" borderId="0" xfId="0" applyFont="1" applyAlignment="1">
      <alignment horizontal="center"/>
    </xf>
    <xf numFmtId="0" fontId="33" fillId="0" borderId="0" xfId="0" applyFont="1" applyAlignment="1" applyProtection="1">
      <alignment horizontal="center"/>
      <protection locked="0"/>
    </xf>
    <xf numFmtId="44" fontId="9" fillId="0" borderId="14" xfId="0" applyNumberFormat="1" applyFont="1" applyBorder="1"/>
    <xf numFmtId="0" fontId="35" fillId="0" borderId="14" xfId="0" applyFont="1" applyBorder="1" applyProtection="1">
      <protection locked="0"/>
    </xf>
    <xf numFmtId="0" fontId="35" fillId="0" borderId="0" xfId="0" applyFont="1" applyProtection="1">
      <protection locked="0"/>
    </xf>
    <xf numFmtId="9" fontId="3" fillId="0" borderId="4" xfId="0" applyNumberFormat="1" applyFont="1" applyBorder="1" applyAlignment="1">
      <alignment horizontal="right"/>
    </xf>
    <xf numFmtId="0" fontId="13" fillId="0" borderId="0" xfId="0" applyFont="1" applyAlignment="1" applyProtection="1">
      <alignment horizontal="left" indent="3"/>
      <protection locked="0"/>
    </xf>
    <xf numFmtId="0" fontId="41" fillId="0" borderId="5" xfId="0" applyFont="1" applyBorder="1" applyAlignment="1">
      <alignment horizontal="center"/>
    </xf>
    <xf numFmtId="0" fontId="9" fillId="0" borderId="5" xfId="0" applyFont="1" applyBorder="1" applyAlignment="1">
      <alignment horizontal="center"/>
    </xf>
    <xf numFmtId="0" fontId="5" fillId="0" borderId="0" xfId="0" applyFont="1" applyAlignment="1" applyProtection="1">
      <alignment horizontal="center"/>
      <protection locked="0"/>
    </xf>
    <xf numFmtId="0" fontId="5" fillId="0" borderId="0" xfId="0" applyFont="1" applyAlignment="1">
      <alignment horizontal="center"/>
    </xf>
    <xf numFmtId="0" fontId="5" fillId="0" borderId="38" xfId="0" applyFont="1" applyBorder="1" applyAlignment="1">
      <alignment horizontal="center"/>
    </xf>
    <xf numFmtId="44" fontId="9" fillId="0" borderId="38" xfId="1" applyFont="1" applyFill="1" applyBorder="1" applyProtection="1"/>
    <xf numFmtId="44" fontId="9" fillId="0" borderId="45" xfId="1" applyFont="1" applyFill="1" applyBorder="1" applyProtection="1"/>
    <xf numFmtId="0" fontId="0" fillId="0" borderId="8" xfId="0" applyBorder="1"/>
    <xf numFmtId="0" fontId="18" fillId="0" borderId="0" xfId="0" applyFont="1"/>
    <xf numFmtId="0" fontId="25" fillId="0" borderId="0" xfId="0" applyFont="1"/>
    <xf numFmtId="2" fontId="27" fillId="0" borderId="0" xfId="0" applyNumberFormat="1" applyFont="1" applyAlignment="1">
      <alignment horizontal="center"/>
    </xf>
    <xf numFmtId="0" fontId="18" fillId="0" borderId="0" xfId="0" applyFont="1" applyAlignment="1">
      <alignment horizontal="center"/>
    </xf>
    <xf numFmtId="0" fontId="5" fillId="0" borderId="19" xfId="0" applyFont="1" applyBorder="1" applyAlignment="1" applyProtection="1">
      <alignment horizontal="center"/>
      <protection locked="0"/>
    </xf>
    <xf numFmtId="0" fontId="6" fillId="0" borderId="0" xfId="0" applyFont="1" applyAlignment="1">
      <alignment horizontal="left"/>
    </xf>
    <xf numFmtId="0" fontId="9" fillId="0" borderId="0" xfId="0" applyFont="1"/>
    <xf numFmtId="0" fontId="6" fillId="0" borderId="46" xfId="0" applyFont="1" applyBorder="1" applyAlignment="1">
      <alignment horizontal="left"/>
    </xf>
    <xf numFmtId="0" fontId="7" fillId="0" borderId="43" xfId="0" applyFont="1" applyBorder="1" applyAlignment="1">
      <alignment horizontal="center"/>
    </xf>
    <xf numFmtId="0" fontId="14" fillId="0" borderId="0" xfId="0" applyFont="1" applyProtection="1">
      <protection locked="0"/>
    </xf>
    <xf numFmtId="0" fontId="15" fillId="0" borderId="1" xfId="0" applyFont="1" applyBorder="1"/>
    <xf numFmtId="0" fontId="15" fillId="0" borderId="2" xfId="0" applyFont="1" applyBorder="1"/>
    <xf numFmtId="0" fontId="14" fillId="0" borderId="2" xfId="0" applyFont="1" applyBorder="1"/>
    <xf numFmtId="0" fontId="14" fillId="0" borderId="3" xfId="0" applyFont="1" applyBorder="1"/>
    <xf numFmtId="0" fontId="6" fillId="0" borderId="31" xfId="0" applyFont="1" applyBorder="1"/>
    <xf numFmtId="0" fontId="20" fillId="0" borderId="31" xfId="0" applyFont="1" applyBorder="1"/>
    <xf numFmtId="0" fontId="31" fillId="0" borderId="19" xfId="0" applyFont="1" applyBorder="1"/>
    <xf numFmtId="0" fontId="31" fillId="0" borderId="0" xfId="0" applyFont="1"/>
    <xf numFmtId="0" fontId="3" fillId="0" borderId="46" xfId="0" applyFont="1" applyBorder="1"/>
    <xf numFmtId="0" fontId="6" fillId="0" borderId="0" xfId="0" applyFont="1"/>
    <xf numFmtId="164" fontId="14" fillId="0" borderId="0" xfId="0" applyNumberFormat="1" applyFont="1" applyProtection="1">
      <protection locked="0"/>
    </xf>
    <xf numFmtId="2" fontId="8" fillId="0" borderId="0" xfId="0" applyNumberFormat="1" applyFont="1" applyAlignment="1">
      <alignment horizontal="center"/>
    </xf>
    <xf numFmtId="8" fontId="3" fillId="0" borderId="0" xfId="0" applyNumberFormat="1" applyFont="1" applyAlignment="1">
      <alignment horizontal="center"/>
    </xf>
    <xf numFmtId="8" fontId="3" fillId="0" borderId="31" xfId="1" applyNumberFormat="1" applyFont="1" applyFill="1" applyBorder="1" applyAlignment="1" applyProtection="1">
      <alignment horizontal="center"/>
    </xf>
    <xf numFmtId="8" fontId="32" fillId="0" borderId="40" xfId="0" applyNumberFormat="1" applyFont="1" applyBorder="1" applyAlignment="1">
      <alignment horizontal="center"/>
    </xf>
    <xf numFmtId="0" fontId="5" fillId="0" borderId="19" xfId="0" applyFont="1" applyBorder="1" applyAlignment="1">
      <alignment horizontal="center"/>
    </xf>
    <xf numFmtId="44" fontId="26" fillId="0" borderId="43" xfId="1" applyFont="1" applyFill="1" applyBorder="1" applyAlignment="1" applyProtection="1">
      <alignment horizontal="center"/>
      <protection locked="0"/>
    </xf>
    <xf numFmtId="0" fontId="26" fillId="0" borderId="43" xfId="0" applyFont="1" applyBorder="1" applyProtection="1">
      <protection locked="0"/>
    </xf>
    <xf numFmtId="2" fontId="27" fillId="0" borderId="43" xfId="0" applyNumberFormat="1" applyFont="1" applyBorder="1" applyAlignment="1">
      <alignment horizontal="center"/>
    </xf>
    <xf numFmtId="44" fontId="3" fillId="0" borderId="18" xfId="1" applyFont="1" applyFill="1" applyBorder="1" applyProtection="1"/>
    <xf numFmtId="44" fontId="3" fillId="0" borderId="26" xfId="1" applyFont="1" applyFill="1" applyBorder="1" applyProtection="1"/>
    <xf numFmtId="44" fontId="20" fillId="0" borderId="30" xfId="1" applyFont="1" applyFill="1" applyBorder="1" applyAlignment="1" applyProtection="1">
      <alignment horizontal="center"/>
    </xf>
    <xf numFmtId="44" fontId="32" fillId="0" borderId="29" xfId="1" applyFont="1" applyFill="1" applyBorder="1" applyAlignment="1" applyProtection="1">
      <alignment horizontal="center"/>
    </xf>
    <xf numFmtId="0" fontId="42" fillId="0" borderId="0" xfId="3"/>
    <xf numFmtId="0" fontId="8" fillId="8" borderId="2" xfId="0" applyFont="1" applyFill="1" applyBorder="1" applyAlignment="1">
      <alignment horizontal="center" vertical="top"/>
    </xf>
    <xf numFmtId="0" fontId="8" fillId="8" borderId="0" xfId="0" applyFont="1" applyFill="1" applyAlignment="1">
      <alignment horizontal="center" vertical="top"/>
    </xf>
    <xf numFmtId="0" fontId="8" fillId="8" borderId="12" xfId="0" applyFont="1" applyFill="1" applyBorder="1" applyAlignment="1">
      <alignment horizontal="right" vertical="center"/>
    </xf>
    <xf numFmtId="0" fontId="8" fillId="8" borderId="13" xfId="0" applyFont="1" applyFill="1" applyBorder="1" applyAlignment="1">
      <alignment horizontal="right" vertical="center"/>
    </xf>
    <xf numFmtId="0" fontId="8" fillId="8" borderId="1" xfId="0" applyFont="1" applyFill="1" applyBorder="1" applyAlignment="1">
      <alignment horizontal="right" vertical="center"/>
    </xf>
    <xf numFmtId="0" fontId="8" fillId="8" borderId="2" xfId="0" applyFont="1" applyFill="1" applyBorder="1" applyAlignment="1">
      <alignment horizontal="right" vertical="center"/>
    </xf>
    <xf numFmtId="0" fontId="8" fillId="8" borderId="2" xfId="0" applyFont="1" applyFill="1" applyBorder="1" applyAlignment="1">
      <alignment horizontal="right" vertical="top"/>
    </xf>
    <xf numFmtId="0" fontId="8" fillId="8" borderId="0" xfId="0" applyFont="1" applyFill="1" applyAlignment="1">
      <alignment horizontal="right" vertical="top"/>
    </xf>
    <xf numFmtId="0" fontId="8" fillId="8" borderId="13" xfId="0" applyFont="1" applyFill="1" applyBorder="1" applyAlignment="1">
      <alignment horizontal="right" vertical="top"/>
    </xf>
    <xf numFmtId="0" fontId="8" fillId="8" borderId="35" xfId="0" applyFont="1" applyFill="1" applyBorder="1" applyAlignment="1">
      <alignment horizontal="right" vertical="center"/>
    </xf>
    <xf numFmtId="0" fontId="8" fillId="8" borderId="16" xfId="0" applyFont="1" applyFill="1" applyBorder="1" applyAlignment="1">
      <alignment horizontal="right" vertical="center"/>
    </xf>
    <xf numFmtId="0" fontId="3" fillId="8" borderId="4" xfId="0" applyFont="1" applyFill="1" applyBorder="1" applyAlignment="1">
      <alignment horizontal="right"/>
    </xf>
    <xf numFmtId="0" fontId="3" fillId="8" borderId="0" xfId="0" applyFont="1" applyFill="1"/>
    <xf numFmtId="0" fontId="0" fillId="8" borderId="0" xfId="0" applyFill="1"/>
    <xf numFmtId="0" fontId="0" fillId="8" borderId="5" xfId="0" applyFill="1" applyBorder="1"/>
    <xf numFmtId="0" fontId="9" fillId="8" borderId="4" xfId="0" applyFont="1" applyFill="1" applyBorder="1" applyAlignment="1">
      <alignment horizontal="right"/>
    </xf>
    <xf numFmtId="0" fontId="9" fillId="8" borderId="0" xfId="0" applyFont="1" applyFill="1"/>
    <xf numFmtId="0" fontId="2" fillId="8" borderId="0" xfId="0" applyFont="1" applyFill="1"/>
    <xf numFmtId="0" fontId="2" fillId="8" borderId="5" xfId="0" applyFont="1" applyFill="1" applyBorder="1"/>
    <xf numFmtId="0" fontId="8" fillId="8" borderId="0" xfId="0" applyFont="1" applyFill="1" applyAlignment="1">
      <alignment horizontal="right" vertical="center"/>
    </xf>
    <xf numFmtId="0" fontId="0" fillId="8" borderId="4" xfId="0" applyFill="1" applyBorder="1"/>
    <xf numFmtId="0" fontId="12" fillId="8" borderId="0" xfId="0" applyFont="1" applyFill="1" applyAlignment="1">
      <alignment horizontal="right"/>
    </xf>
    <xf numFmtId="0" fontId="3" fillId="8" borderId="0" xfId="0" applyFont="1" applyFill="1" applyAlignment="1">
      <alignment horizontal="left"/>
    </xf>
    <xf numFmtId="0" fontId="0" fillId="8" borderId="12" xfId="0" applyFill="1" applyBorder="1"/>
    <xf numFmtId="0" fontId="0" fillId="8" borderId="13" xfId="0" applyFill="1" applyBorder="1"/>
    <xf numFmtId="0" fontId="0" fillId="8" borderId="6" xfId="0" applyFill="1" applyBorder="1"/>
    <xf numFmtId="0" fontId="9" fillId="7" borderId="25" xfId="0" applyFont="1" applyFill="1" applyBorder="1"/>
    <xf numFmtId="0" fontId="9" fillId="7" borderId="14" xfId="0" applyFont="1" applyFill="1" applyBorder="1"/>
    <xf numFmtId="0" fontId="35" fillId="7" borderId="14" xfId="0" applyFont="1" applyFill="1" applyBorder="1"/>
    <xf numFmtId="0" fontId="35" fillId="7" borderId="14" xfId="0" applyFont="1" applyFill="1" applyBorder="1" applyAlignment="1">
      <alignment horizontal="center"/>
    </xf>
    <xf numFmtId="44" fontId="9" fillId="7" borderId="15" xfId="0" applyNumberFormat="1" applyFont="1" applyFill="1" applyBorder="1"/>
    <xf numFmtId="0" fontId="35" fillId="6" borderId="14" xfId="0" applyFont="1" applyFill="1" applyBorder="1"/>
    <xf numFmtId="0" fontId="35" fillId="6" borderId="14" xfId="0" applyFont="1" applyFill="1" applyBorder="1" applyAlignment="1">
      <alignment horizontal="center"/>
    </xf>
    <xf numFmtId="44" fontId="9" fillId="6" borderId="15" xfId="0" applyNumberFormat="1" applyFont="1" applyFill="1" applyBorder="1"/>
    <xf numFmtId="0" fontId="9" fillId="6" borderId="25" xfId="0" applyFont="1" applyFill="1" applyBorder="1" applyAlignment="1">
      <alignment horizontal="left"/>
    </xf>
    <xf numFmtId="0" fontId="9" fillId="6" borderId="14" xfId="0" applyFont="1" applyFill="1" applyBorder="1" applyAlignment="1">
      <alignment horizontal="left"/>
    </xf>
    <xf numFmtId="0" fontId="36" fillId="6" borderId="14" xfId="0" applyFont="1" applyFill="1" applyBorder="1"/>
    <xf numFmtId="0" fontId="20" fillId="0" borderId="19" xfId="0" applyFont="1" applyBorder="1"/>
    <xf numFmtId="0" fontId="3" fillId="0" borderId="30" xfId="0" applyFont="1" applyBorder="1"/>
    <xf numFmtId="0" fontId="9" fillId="7" borderId="35" xfId="0" applyFont="1" applyFill="1" applyBorder="1"/>
    <xf numFmtId="0" fontId="9" fillId="7" borderId="16" xfId="0" applyFont="1" applyFill="1" applyBorder="1" applyAlignment="1">
      <alignment horizontal="center"/>
    </xf>
    <xf numFmtId="0" fontId="8" fillId="7" borderId="16" xfId="0" applyFont="1" applyFill="1" applyBorder="1" applyAlignment="1">
      <alignment horizontal="center"/>
    </xf>
    <xf numFmtId="0" fontId="9" fillId="7" borderId="24" xfId="0" applyFont="1" applyFill="1" applyBorder="1" applyAlignment="1">
      <alignment horizontal="center"/>
    </xf>
    <xf numFmtId="0" fontId="43" fillId="0" borderId="0" xfId="0" applyFont="1" applyProtection="1">
      <protection locked="0"/>
    </xf>
    <xf numFmtId="0" fontId="9" fillId="6" borderId="44" xfId="0" applyFont="1" applyFill="1" applyBorder="1" applyAlignment="1">
      <alignment horizontal="center"/>
    </xf>
    <xf numFmtId="0" fontId="9" fillId="6" borderId="50" xfId="0" applyFont="1" applyFill="1" applyBorder="1" applyAlignment="1">
      <alignment horizontal="center"/>
    </xf>
    <xf numFmtId="0" fontId="25" fillId="0" borderId="4" xfId="0" applyFont="1" applyBorder="1" applyAlignment="1">
      <alignment horizontal="left"/>
    </xf>
    <xf numFmtId="0" fontId="6" fillId="0" borderId="4" xfId="0" applyFont="1" applyBorder="1" applyAlignment="1">
      <alignment horizontal="center"/>
    </xf>
    <xf numFmtId="0" fontId="9" fillId="0" borderId="5" xfId="0" applyFont="1" applyBorder="1"/>
    <xf numFmtId="44" fontId="0" fillId="0" borderId="0" xfId="0" applyNumberFormat="1" applyAlignment="1">
      <alignment horizontal="center"/>
    </xf>
    <xf numFmtId="8" fontId="32" fillId="0" borderId="22" xfId="0" applyNumberFormat="1" applyFont="1" applyBorder="1" applyAlignment="1">
      <alignment horizontal="center"/>
    </xf>
    <xf numFmtId="44" fontId="32" fillId="0" borderId="33" xfId="1" applyFont="1" applyFill="1" applyBorder="1" applyAlignment="1" applyProtection="1">
      <alignment horizontal="center"/>
    </xf>
    <xf numFmtId="44" fontId="3" fillId="0" borderId="19" xfId="1" applyFont="1" applyFill="1" applyBorder="1" applyProtection="1"/>
    <xf numFmtId="44" fontId="3" fillId="0" borderId="20" xfId="1" applyFont="1" applyFill="1" applyBorder="1" applyProtection="1"/>
    <xf numFmtId="44" fontId="3" fillId="0" borderId="8" xfId="1" applyFont="1" applyFill="1" applyBorder="1" applyProtection="1"/>
    <xf numFmtId="44" fontId="3" fillId="0" borderId="21" xfId="1" applyFont="1" applyFill="1" applyBorder="1" applyProtection="1"/>
    <xf numFmtId="0" fontId="9" fillId="0" borderId="18" xfId="0" applyFont="1" applyBorder="1"/>
    <xf numFmtId="0" fontId="25" fillId="0" borderId="18" xfId="0" applyFont="1" applyBorder="1" applyAlignment="1">
      <alignment horizontal="left" indent="2"/>
    </xf>
    <xf numFmtId="8" fontId="8" fillId="0" borderId="8" xfId="0" applyNumberFormat="1" applyFont="1" applyBorder="1" applyAlignment="1">
      <alignment horizontal="center"/>
    </xf>
    <xf numFmtId="2" fontId="9" fillId="0" borderId="13" xfId="0" applyNumberFormat="1" applyFont="1" applyBorder="1" applyAlignment="1">
      <alignment horizontal="left"/>
    </xf>
    <xf numFmtId="0" fontId="5" fillId="0" borderId="27" xfId="0" applyFont="1" applyBorder="1" applyAlignment="1" applyProtection="1">
      <alignment horizontal="center"/>
      <protection locked="0"/>
    </xf>
    <xf numFmtId="0" fontId="7" fillId="0" borderId="0" xfId="0" applyFont="1" applyAlignment="1">
      <alignment horizontal="center"/>
    </xf>
    <xf numFmtId="0" fontId="10" fillId="0" borderId="18" xfId="0" applyFont="1" applyBorder="1" applyAlignment="1">
      <alignment horizontal="center"/>
    </xf>
    <xf numFmtId="8" fontId="14" fillId="0" borderId="0" xfId="0" applyNumberFormat="1" applyFont="1" applyAlignment="1" applyProtection="1">
      <alignment horizontal="center"/>
      <protection locked="0"/>
    </xf>
    <xf numFmtId="0" fontId="2" fillId="0" borderId="0" xfId="0" applyFont="1" applyAlignment="1">
      <alignment horizontal="center"/>
    </xf>
    <xf numFmtId="0" fontId="0" fillId="0" borderId="0" xfId="0" applyAlignment="1">
      <alignment horizontal="left"/>
    </xf>
    <xf numFmtId="8" fontId="0" fillId="0" borderId="0" xfId="0" applyNumberFormat="1" applyAlignment="1">
      <alignment horizontal="center"/>
    </xf>
    <xf numFmtId="165" fontId="0" fillId="0" borderId="0" xfId="0" applyNumberFormat="1" applyAlignment="1">
      <alignment horizontal="center"/>
    </xf>
    <xf numFmtId="0" fontId="23" fillId="0" borderId="0" xfId="0" applyFont="1" applyAlignment="1" applyProtection="1">
      <alignment horizontal="center"/>
      <protection locked="0"/>
    </xf>
    <xf numFmtId="0" fontId="41" fillId="0" borderId="0" xfId="0" applyFont="1" applyAlignment="1">
      <alignment horizontal="center"/>
    </xf>
    <xf numFmtId="0" fontId="25" fillId="0" borderId="50" xfId="0" applyFont="1" applyBorder="1" applyAlignment="1">
      <alignment horizontal="left"/>
    </xf>
    <xf numFmtId="44" fontId="22" fillId="0" borderId="0" xfId="0" applyNumberFormat="1" applyFont="1" applyAlignment="1">
      <alignment horizontal="center"/>
    </xf>
    <xf numFmtId="0" fontId="0" fillId="0" borderId="8" xfId="0" applyBorder="1" applyAlignment="1">
      <alignment horizontal="center"/>
    </xf>
    <xf numFmtId="44" fontId="2" fillId="0" borderId="0" xfId="0" applyNumberFormat="1" applyFont="1"/>
    <xf numFmtId="165" fontId="23" fillId="0" borderId="0" xfId="0" applyNumberFormat="1" applyFont="1" applyAlignment="1" applyProtection="1">
      <alignment horizontal="center"/>
      <protection locked="0"/>
    </xf>
    <xf numFmtId="8" fontId="44" fillId="0" borderId="38" xfId="0" applyNumberFormat="1" applyFont="1" applyBorder="1" applyAlignment="1">
      <alignment horizontal="center"/>
    </xf>
    <xf numFmtId="40" fontId="44" fillId="0" borderId="45" xfId="0" applyNumberFormat="1" applyFont="1" applyBorder="1" applyAlignment="1">
      <alignment horizontal="center"/>
    </xf>
    <xf numFmtId="40" fontId="44" fillId="0" borderId="52" xfId="0" applyNumberFormat="1" applyFont="1" applyBorder="1" applyAlignment="1">
      <alignment horizontal="center"/>
    </xf>
    <xf numFmtId="165" fontId="20" fillId="0" borderId="32" xfId="1" applyNumberFormat="1" applyFont="1" applyFill="1" applyBorder="1" applyAlignment="1" applyProtection="1">
      <alignment horizontal="center"/>
    </xf>
    <xf numFmtId="165" fontId="20" fillId="0" borderId="31" xfId="1" applyNumberFormat="1" applyFont="1" applyFill="1" applyBorder="1" applyAlignment="1" applyProtection="1">
      <alignment horizontal="center"/>
    </xf>
    <xf numFmtId="8" fontId="32" fillId="0" borderId="17" xfId="1" applyNumberFormat="1" applyFont="1" applyFill="1" applyBorder="1" applyAlignment="1" applyProtection="1">
      <alignment horizontal="center"/>
    </xf>
    <xf numFmtId="8" fontId="46" fillId="0" borderId="17" xfId="0" applyNumberFormat="1" applyFont="1" applyBorder="1" applyAlignment="1">
      <alignment horizontal="center"/>
    </xf>
    <xf numFmtId="0" fontId="11" fillId="0" borderId="50" xfId="0" applyFont="1" applyBorder="1" applyAlignment="1">
      <alignment horizontal="left"/>
    </xf>
    <xf numFmtId="0" fontId="11" fillId="0" borderId="48" xfId="0" applyFont="1" applyBorder="1" applyAlignment="1">
      <alignment horizontal="left"/>
    </xf>
    <xf numFmtId="165" fontId="30" fillId="0" borderId="28" xfId="1" applyNumberFormat="1" applyFont="1" applyFill="1" applyBorder="1" applyAlignment="1" applyProtection="1">
      <alignment horizontal="center"/>
    </xf>
    <xf numFmtId="165" fontId="9" fillId="0" borderId="0" xfId="0" applyNumberFormat="1" applyFont="1" applyAlignment="1">
      <alignment horizontal="left"/>
    </xf>
    <xf numFmtId="2" fontId="9" fillId="0" borderId="0" xfId="0" applyNumberFormat="1" applyFont="1" applyAlignment="1">
      <alignment horizontal="left"/>
    </xf>
    <xf numFmtId="165" fontId="9" fillId="0" borderId="0" xfId="0" applyNumberFormat="1" applyFont="1"/>
    <xf numFmtId="0" fontId="5" fillId="0" borderId="18" xfId="0" applyFont="1" applyBorder="1" applyAlignment="1" applyProtection="1">
      <alignment horizontal="center"/>
      <protection locked="0"/>
    </xf>
    <xf numFmtId="0" fontId="20" fillId="0" borderId="18" xfId="0" applyFont="1" applyBorder="1" applyAlignment="1">
      <alignment horizontal="center"/>
    </xf>
    <xf numFmtId="0" fontId="5" fillId="0" borderId="26" xfId="0" applyFont="1" applyBorder="1" applyAlignment="1" applyProtection="1">
      <alignment horizontal="center"/>
      <protection locked="0"/>
    </xf>
    <xf numFmtId="44" fontId="3" fillId="0" borderId="13" xfId="1" applyFont="1" applyFill="1" applyBorder="1" applyProtection="1"/>
    <xf numFmtId="49" fontId="3" fillId="0" borderId="0" xfId="0" applyNumberFormat="1" applyFont="1" applyAlignment="1">
      <alignment horizontal="center"/>
    </xf>
    <xf numFmtId="2" fontId="3" fillId="0" borderId="0" xfId="0" applyNumberFormat="1" applyFont="1"/>
    <xf numFmtId="0" fontId="0" fillId="0" borderId="56" xfId="0" applyBorder="1"/>
    <xf numFmtId="0" fontId="0" fillId="0" borderId="56" xfId="0" applyBorder="1" applyAlignment="1">
      <alignment horizontal="center"/>
    </xf>
    <xf numFmtId="2" fontId="27" fillId="0" borderId="56" xfId="0" applyNumberFormat="1" applyFont="1" applyBorder="1" applyAlignment="1">
      <alignment horizontal="center"/>
    </xf>
    <xf numFmtId="0" fontId="0" fillId="0" borderId="56" xfId="0" applyBorder="1" applyAlignment="1">
      <alignment horizontal="center" wrapText="1"/>
    </xf>
    <xf numFmtId="0" fontId="29" fillId="7" borderId="17" xfId="0" applyFont="1" applyFill="1" applyBorder="1" applyAlignment="1" applyProtection="1">
      <alignment horizontal="center"/>
      <protection locked="0"/>
    </xf>
    <xf numFmtId="165" fontId="0" fillId="0" borderId="0" xfId="0" applyNumberFormat="1"/>
    <xf numFmtId="165" fontId="0" fillId="0" borderId="0" xfId="4" applyNumberFormat="1" applyFont="1" applyAlignment="1" applyProtection="1">
      <alignment horizontal="center"/>
    </xf>
    <xf numFmtId="165" fontId="29" fillId="7" borderId="17" xfId="0" applyNumberFormat="1" applyFont="1" applyFill="1" applyBorder="1" applyAlignment="1" applyProtection="1">
      <alignment horizontal="center"/>
      <protection locked="0"/>
    </xf>
    <xf numFmtId="0" fontId="47" fillId="0" borderId="0" xfId="0" applyFont="1"/>
    <xf numFmtId="1" fontId="0" fillId="0" borderId="0" xfId="4" applyNumberFormat="1" applyFont="1" applyAlignment="1" applyProtection="1">
      <alignment horizontal="center"/>
    </xf>
    <xf numFmtId="0" fontId="0" fillId="0" borderId="63" xfId="0" applyBorder="1"/>
    <xf numFmtId="1" fontId="0" fillId="0" borderId="63" xfId="4" applyNumberFormat="1" applyFont="1" applyBorder="1" applyAlignment="1" applyProtection="1">
      <alignment horizontal="center"/>
    </xf>
    <xf numFmtId="0" fontId="0" fillId="0" borderId="63" xfId="0" quotePrefix="1" applyBorder="1" applyAlignment="1">
      <alignment horizontal="center"/>
    </xf>
    <xf numFmtId="0" fontId="29" fillId="7" borderId="28" xfId="0" applyFont="1" applyFill="1" applyBorder="1" applyAlignment="1" applyProtection="1">
      <alignment horizontal="center"/>
      <protection locked="0"/>
    </xf>
    <xf numFmtId="0" fontId="47" fillId="0" borderId="63" xfId="0" applyFont="1" applyBorder="1"/>
    <xf numFmtId="5" fontId="29" fillId="7" borderId="17" xfId="4" applyNumberFormat="1" applyFont="1" applyFill="1" applyBorder="1" applyProtection="1">
      <protection locked="0"/>
    </xf>
    <xf numFmtId="0" fontId="47" fillId="0" borderId="0" xfId="0" applyFont="1" applyAlignment="1">
      <alignment horizontal="left"/>
    </xf>
    <xf numFmtId="165" fontId="3" fillId="0" borderId="0" xfId="0" applyNumberFormat="1" applyFont="1" applyAlignment="1">
      <alignment horizontal="left" vertical="center"/>
    </xf>
    <xf numFmtId="44" fontId="26" fillId="0" borderId="0" xfId="1" applyFont="1" applyFill="1" applyBorder="1" applyAlignment="1" applyProtection="1">
      <alignment horizontal="center" vertical="center"/>
      <protection locked="0"/>
    </xf>
    <xf numFmtId="44" fontId="0" fillId="0" borderId="0" xfId="0" applyNumberFormat="1" applyProtection="1">
      <protection locked="0"/>
    </xf>
    <xf numFmtId="165" fontId="25" fillId="0" borderId="0" xfId="0" applyNumberFormat="1" applyFont="1" applyAlignment="1">
      <alignment horizontal="left" vertical="center" indent="2"/>
    </xf>
    <xf numFmtId="165" fontId="13" fillId="0" borderId="0" xfId="0" applyNumberFormat="1" applyFont="1" applyAlignment="1">
      <alignment horizontal="left" vertical="center" indent="2"/>
    </xf>
    <xf numFmtId="165" fontId="13" fillId="0" borderId="0" xfId="0" applyNumberFormat="1" applyFont="1" applyAlignment="1" applyProtection="1">
      <alignment horizontal="left" vertical="center" indent="2"/>
      <protection locked="0"/>
    </xf>
    <xf numFmtId="0" fontId="14" fillId="0" borderId="4" xfId="0" applyFont="1" applyBorder="1" applyProtection="1">
      <protection locked="0"/>
    </xf>
    <xf numFmtId="0" fontId="14" fillId="0" borderId="5" xfId="0" applyFont="1" applyBorder="1" applyProtection="1">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14" fillId="0" borderId="12" xfId="0" applyFont="1" applyBorder="1" applyProtection="1">
      <protection locked="0"/>
    </xf>
    <xf numFmtId="0" fontId="14" fillId="0" borderId="13" xfId="0" applyFont="1" applyBorder="1" applyProtection="1">
      <protection locked="0"/>
    </xf>
    <xf numFmtId="0" fontId="14" fillId="0" borderId="6" xfId="0" applyFont="1" applyBorder="1" applyProtection="1">
      <protection locked="0"/>
    </xf>
    <xf numFmtId="0" fontId="12" fillId="8" borderId="12" xfId="0" applyFont="1" applyFill="1" applyBorder="1" applyAlignment="1">
      <alignment horizontal="right"/>
    </xf>
    <xf numFmtId="0" fontId="12" fillId="8" borderId="13" xfId="0" applyFont="1" applyFill="1" applyBorder="1" applyAlignment="1">
      <alignment horizontal="right"/>
    </xf>
    <xf numFmtId="0" fontId="42" fillId="0" borderId="0" xfId="3" applyAlignment="1" applyProtection="1">
      <alignment horizontal="left"/>
      <protection locked="0"/>
    </xf>
    <xf numFmtId="0" fontId="35" fillId="0" borderId="63" xfId="0" applyFont="1" applyBorder="1"/>
    <xf numFmtId="0" fontId="9" fillId="0" borderId="64" xfId="0" applyFont="1" applyBorder="1" applyAlignment="1">
      <alignment horizontal="center"/>
    </xf>
    <xf numFmtId="2" fontId="28" fillId="7" borderId="17" xfId="1" applyNumberFormat="1" applyFont="1" applyFill="1" applyBorder="1" applyAlignment="1" applyProtection="1">
      <alignment horizontal="right"/>
      <protection locked="0"/>
    </xf>
    <xf numFmtId="0" fontId="28" fillId="7" borderId="17" xfId="0" applyFont="1" applyFill="1" applyBorder="1" applyAlignment="1" applyProtection="1">
      <alignment horizontal="center"/>
      <protection locked="0"/>
    </xf>
    <xf numFmtId="9" fontId="29" fillId="7" borderId="17" xfId="2" applyFont="1" applyFill="1" applyBorder="1" applyAlignment="1" applyProtection="1">
      <alignment horizontal="center"/>
      <protection locked="0"/>
    </xf>
    <xf numFmtId="44" fontId="29" fillId="7" borderId="17" xfId="0" applyNumberFormat="1" applyFont="1" applyFill="1" applyBorder="1" applyAlignment="1" applyProtection="1">
      <alignment horizontal="center"/>
      <protection locked="0"/>
    </xf>
    <xf numFmtId="44" fontId="28" fillId="7" borderId="17" xfId="1" applyFont="1" applyFill="1" applyBorder="1" applyAlignment="1" applyProtection="1">
      <alignment horizontal="center"/>
      <protection locked="0"/>
    </xf>
    <xf numFmtId="8" fontId="29" fillId="7" borderId="17" xfId="0" applyNumberFormat="1" applyFont="1" applyFill="1" applyBorder="1" applyAlignment="1" applyProtection="1">
      <alignment horizontal="center"/>
      <protection locked="0"/>
    </xf>
    <xf numFmtId="8" fontId="29" fillId="7" borderId="17" xfId="0" applyNumberFormat="1" applyFont="1" applyFill="1" applyBorder="1" applyProtection="1">
      <protection locked="0"/>
    </xf>
    <xf numFmtId="6" fontId="29" fillId="7" borderId="17" xfId="0" applyNumberFormat="1" applyFont="1" applyFill="1" applyBorder="1" applyAlignment="1" applyProtection="1">
      <alignment horizontal="center"/>
      <protection locked="0"/>
    </xf>
    <xf numFmtId="0" fontId="12" fillId="0" borderId="4" xfId="0" applyFont="1" applyBorder="1" applyAlignment="1">
      <alignment horizontal="left" vertical="center"/>
    </xf>
    <xf numFmtId="0" fontId="9" fillId="0" borderId="0" xfId="0" applyFont="1" applyAlignment="1">
      <alignment horizontal="right" vertical="center"/>
    </xf>
    <xf numFmtId="0" fontId="8" fillId="0" borderId="0" xfId="0" applyFont="1" applyAlignment="1">
      <alignment horizontal="right"/>
    </xf>
    <xf numFmtId="0" fontId="8" fillId="0" borderId="5" xfId="0" applyFont="1" applyBorder="1" applyAlignment="1">
      <alignment horizontal="center"/>
    </xf>
    <xf numFmtId="0" fontId="20" fillId="0" borderId="0" xfId="0" applyFont="1"/>
    <xf numFmtId="0" fontId="9" fillId="0" borderId="0" xfId="0" applyFont="1" applyAlignment="1">
      <alignment horizontal="center" wrapText="1"/>
    </xf>
    <xf numFmtId="0" fontId="3" fillId="0" borderId="0" xfId="0" applyFont="1" applyAlignment="1">
      <alignment horizontal="center" wrapText="1"/>
    </xf>
    <xf numFmtId="0" fontId="3" fillId="0" borderId="5" xfId="0" applyFont="1" applyBorder="1" applyAlignment="1">
      <alignment horizontal="center" wrapText="1"/>
    </xf>
    <xf numFmtId="164" fontId="28" fillId="7" borderId="17" xfId="1" applyNumberFormat="1" applyFont="1" applyFill="1" applyBorder="1" applyAlignment="1" applyProtection="1">
      <alignment horizontal="center"/>
      <protection locked="0"/>
    </xf>
    <xf numFmtId="0" fontId="26" fillId="0" borderId="0" xfId="0" applyFont="1" applyAlignment="1" applyProtection="1">
      <alignment horizontal="center"/>
      <protection locked="0"/>
    </xf>
    <xf numFmtId="167" fontId="28" fillId="7" borderId="17" xfId="2" applyNumberFormat="1" applyFont="1" applyFill="1" applyBorder="1" applyAlignment="1" applyProtection="1">
      <alignment horizontal="center"/>
      <protection locked="0"/>
    </xf>
    <xf numFmtId="165" fontId="3" fillId="0" borderId="0" xfId="0" applyNumberFormat="1" applyFont="1" applyAlignment="1">
      <alignment horizontal="center"/>
    </xf>
    <xf numFmtId="165" fontId="3" fillId="0" borderId="5" xfId="0" applyNumberFormat="1" applyFont="1" applyBorder="1" applyAlignment="1">
      <alignment horizontal="center"/>
    </xf>
    <xf numFmtId="0" fontId="3" fillId="0" borderId="18" xfId="0" applyFont="1" applyBorder="1" applyProtection="1">
      <protection locked="0"/>
    </xf>
    <xf numFmtId="0" fontId="20" fillId="0" borderId="0" xfId="0" applyFont="1" applyProtection="1">
      <protection locked="0"/>
    </xf>
    <xf numFmtId="167" fontId="28" fillId="7" borderId="17" xfId="0" applyNumberFormat="1" applyFont="1" applyFill="1" applyBorder="1" applyAlignment="1" applyProtection="1">
      <alignment horizontal="center"/>
      <protection locked="0"/>
    </xf>
    <xf numFmtId="0" fontId="3" fillId="0" borderId="18" xfId="0" applyFont="1" applyBorder="1"/>
    <xf numFmtId="0" fontId="9" fillId="0" borderId="20" xfId="0" applyFont="1" applyBorder="1" applyAlignment="1">
      <alignment horizontal="center"/>
    </xf>
    <xf numFmtId="0" fontId="9" fillId="0" borderId="8" xfId="0" applyFont="1" applyBorder="1" applyAlignment="1">
      <alignment horizontal="center"/>
    </xf>
    <xf numFmtId="0" fontId="9" fillId="0" borderId="21" xfId="0" applyFont="1" applyBorder="1" applyAlignment="1">
      <alignment horizontal="center"/>
    </xf>
    <xf numFmtId="0" fontId="3" fillId="0" borderId="19" xfId="0" applyFont="1" applyBorder="1"/>
    <xf numFmtId="8" fontId="9" fillId="0" borderId="0" xfId="0" applyNumberFormat="1" applyFont="1"/>
    <xf numFmtId="8" fontId="9" fillId="0" borderId="5" xfId="0" applyNumberFormat="1" applyFont="1" applyBorder="1"/>
    <xf numFmtId="0" fontId="25" fillId="0" borderId="20" xfId="0" applyFont="1" applyBorder="1" applyAlignment="1">
      <alignment horizontal="left" indent="2"/>
    </xf>
    <xf numFmtId="0" fontId="12" fillId="0" borderId="8" xfId="0" applyFont="1" applyBorder="1" applyAlignment="1">
      <alignment horizontal="center"/>
    </xf>
    <xf numFmtId="0" fontId="28" fillId="7" borderId="50" xfId="0" applyFont="1" applyFill="1" applyBorder="1" applyProtection="1">
      <protection locked="0"/>
    </xf>
    <xf numFmtId="9" fontId="28" fillId="7" borderId="50" xfId="0" applyNumberFormat="1" applyFont="1" applyFill="1" applyBorder="1" applyAlignment="1" applyProtection="1">
      <alignment horizontal="center"/>
      <protection locked="0"/>
    </xf>
    <xf numFmtId="0" fontId="28" fillId="7" borderId="50" xfId="0" applyFont="1" applyFill="1" applyBorder="1" applyAlignment="1" applyProtection="1">
      <alignment horizontal="center"/>
      <protection locked="0"/>
    </xf>
    <xf numFmtId="44" fontId="28" fillId="7" borderId="17" xfId="0" applyNumberFormat="1" applyFont="1" applyFill="1" applyBorder="1" applyProtection="1">
      <protection locked="0"/>
    </xf>
    <xf numFmtId="0" fontId="26" fillId="0" borderId="0" xfId="0" applyFont="1" applyProtection="1">
      <protection locked="0"/>
    </xf>
    <xf numFmtId="0" fontId="21" fillId="0" borderId="0" xfId="0" applyFont="1" applyAlignment="1">
      <alignment horizontal="center" vertical="center"/>
    </xf>
    <xf numFmtId="2" fontId="3" fillId="0" borderId="0" xfId="0" applyNumberFormat="1" applyFont="1" applyAlignment="1">
      <alignment horizontal="center"/>
    </xf>
    <xf numFmtId="49" fontId="9" fillId="0" borderId="0" xfId="0" applyNumberFormat="1" applyFont="1" applyAlignment="1">
      <alignment horizontal="center"/>
    </xf>
    <xf numFmtId="166" fontId="9" fillId="0" borderId="0" xfId="0" applyNumberFormat="1" applyFont="1" applyAlignment="1">
      <alignment horizontal="center"/>
    </xf>
    <xf numFmtId="166" fontId="3" fillId="0" borderId="0" xfId="0" applyNumberFormat="1" applyFont="1"/>
    <xf numFmtId="0" fontId="51" fillId="0" borderId="0" xfId="0" applyFont="1"/>
    <xf numFmtId="44" fontId="28" fillId="7" borderId="17" xfId="1" applyFont="1" applyFill="1" applyBorder="1" applyAlignment="1" applyProtection="1">
      <alignment horizontal="right"/>
      <protection locked="0"/>
    </xf>
    <xf numFmtId="0" fontId="9" fillId="7" borderId="17" xfId="1" applyNumberFormat="1" applyFont="1" applyFill="1" applyBorder="1" applyAlignment="1" applyProtection="1">
      <alignment horizontal="center"/>
      <protection locked="0"/>
    </xf>
    <xf numFmtId="2" fontId="28" fillId="7" borderId="17" xfId="0" applyNumberFormat="1" applyFont="1" applyFill="1" applyBorder="1" applyAlignment="1" applyProtection="1">
      <alignment horizontal="right"/>
      <protection locked="0"/>
    </xf>
    <xf numFmtId="1" fontId="28" fillId="7" borderId="17" xfId="0" applyNumberFormat="1" applyFont="1" applyFill="1" applyBorder="1" applyAlignment="1" applyProtection="1">
      <alignment horizontal="center"/>
      <protection locked="0"/>
    </xf>
    <xf numFmtId="44" fontId="26" fillId="7" borderId="65" xfId="1" applyFont="1" applyFill="1" applyBorder="1" applyAlignment="1" applyProtection="1">
      <alignment horizontal="center"/>
      <protection locked="0"/>
    </xf>
    <xf numFmtId="44" fontId="26" fillId="7" borderId="66" xfId="1" applyFont="1" applyFill="1" applyBorder="1" applyAlignment="1" applyProtection="1">
      <alignment horizontal="center"/>
      <protection locked="0"/>
    </xf>
    <xf numFmtId="0" fontId="53" fillId="6" borderId="46" xfId="0" applyFont="1" applyFill="1" applyBorder="1" applyAlignment="1">
      <alignment horizontal="center"/>
    </xf>
    <xf numFmtId="0" fontId="23" fillId="0" borderId="18" xfId="0" applyFont="1" applyBorder="1" applyAlignment="1">
      <alignment horizontal="center"/>
    </xf>
    <xf numFmtId="0" fontId="14" fillId="0" borderId="46" xfId="0" applyFont="1" applyBorder="1"/>
    <xf numFmtId="0" fontId="14" fillId="0" borderId="0" xfId="0" applyFont="1"/>
    <xf numFmtId="44" fontId="54" fillId="7" borderId="17" xfId="1" applyFont="1" applyFill="1" applyBorder="1" applyAlignment="1" applyProtection="1">
      <alignment horizontal="center"/>
      <protection locked="0"/>
    </xf>
    <xf numFmtId="8" fontId="54" fillId="0" borderId="0" xfId="1" applyNumberFormat="1" applyFont="1" applyFill="1" applyBorder="1" applyAlignment="1" applyProtection="1">
      <alignment horizontal="center"/>
    </xf>
    <xf numFmtId="8" fontId="55" fillId="0" borderId="19" xfId="0" applyNumberFormat="1" applyFont="1" applyBorder="1" applyAlignment="1">
      <alignment horizontal="center"/>
    </xf>
    <xf numFmtId="8" fontId="55" fillId="0" borderId="0" xfId="0" applyNumberFormat="1" applyFont="1" applyAlignment="1">
      <alignment horizontal="center"/>
    </xf>
    <xf numFmtId="0" fontId="54" fillId="7" borderId="17" xfId="0" applyFont="1" applyFill="1" applyBorder="1" applyAlignment="1" applyProtection="1">
      <alignment horizontal="center"/>
      <protection locked="0"/>
    </xf>
    <xf numFmtId="8" fontId="56" fillId="0" borderId="0" xfId="0" applyNumberFormat="1" applyFont="1" applyAlignment="1">
      <alignment horizontal="center"/>
    </xf>
    <xf numFmtId="8" fontId="56" fillId="0" borderId="19" xfId="0" applyNumberFormat="1" applyFont="1" applyBorder="1" applyAlignment="1">
      <alignment horizontal="center"/>
    </xf>
    <xf numFmtId="0" fontId="14" fillId="0" borderId="46" xfId="0" applyFont="1" applyBorder="1" applyAlignment="1">
      <alignment horizontal="left"/>
    </xf>
    <xf numFmtId="0" fontId="14" fillId="0" borderId="0" xfId="0" applyFont="1" applyAlignment="1">
      <alignment horizontal="left"/>
    </xf>
    <xf numFmtId="8" fontId="14" fillId="0" borderId="19" xfId="0" applyNumberFormat="1" applyFont="1" applyBorder="1" applyAlignment="1">
      <alignment horizontal="center"/>
    </xf>
    <xf numFmtId="8" fontId="14" fillId="0" borderId="0" xfId="0" applyNumberFormat="1" applyFont="1" applyAlignment="1">
      <alignment horizontal="center"/>
    </xf>
    <xf numFmtId="0" fontId="14" fillId="0" borderId="19" xfId="0" applyFont="1" applyBorder="1" applyAlignment="1">
      <alignment horizontal="left"/>
    </xf>
    <xf numFmtId="0" fontId="54" fillId="0" borderId="18" xfId="0" applyFont="1" applyBorder="1" applyAlignment="1" applyProtection="1">
      <alignment horizontal="center"/>
      <protection locked="0"/>
    </xf>
    <xf numFmtId="44" fontId="56" fillId="0" borderId="18" xfId="0" applyNumberFormat="1" applyFont="1" applyBorder="1" applyAlignment="1">
      <alignment horizontal="center"/>
    </xf>
    <xf numFmtId="8" fontId="54" fillId="0" borderId="18" xfId="0" applyNumberFormat="1" applyFont="1" applyBorder="1" applyAlignment="1" applyProtection="1">
      <alignment horizontal="center"/>
      <protection locked="0"/>
    </xf>
    <xf numFmtId="8" fontId="6" fillId="0" borderId="32" xfId="0" applyNumberFormat="1" applyFont="1" applyBorder="1" applyAlignment="1">
      <alignment horizontal="center"/>
    </xf>
    <xf numFmtId="8" fontId="58" fillId="0" borderId="32" xfId="0" applyNumberFormat="1" applyFont="1" applyBorder="1" applyAlignment="1">
      <alignment horizontal="center"/>
    </xf>
    <xf numFmtId="8" fontId="58" fillId="0" borderId="0" xfId="0" applyNumberFormat="1" applyFont="1" applyAlignment="1">
      <alignment horizontal="center"/>
    </xf>
    <xf numFmtId="44" fontId="57" fillId="0" borderId="40" xfId="1" applyFont="1" applyFill="1" applyBorder="1" applyAlignment="1" applyProtection="1">
      <alignment horizontal="center"/>
    </xf>
    <xf numFmtId="8" fontId="57" fillId="0" borderId="40" xfId="1" applyNumberFormat="1" applyFont="1" applyFill="1" applyBorder="1" applyAlignment="1" applyProtection="1">
      <alignment horizontal="center"/>
    </xf>
    <xf numFmtId="8" fontId="59" fillId="0" borderId="40" xfId="0" applyNumberFormat="1" applyFont="1" applyBorder="1" applyAlignment="1">
      <alignment horizontal="center"/>
    </xf>
    <xf numFmtId="44" fontId="59" fillId="0" borderId="40" xfId="1" applyFont="1" applyFill="1" applyBorder="1" applyAlignment="1" applyProtection="1">
      <alignment horizontal="center"/>
    </xf>
    <xf numFmtId="8" fontId="14" fillId="0" borderId="18" xfId="0" applyNumberFormat="1" applyFont="1" applyBorder="1" applyAlignment="1">
      <alignment horizontal="center"/>
    </xf>
    <xf numFmtId="8" fontId="56" fillId="0" borderId="5" xfId="0" applyNumberFormat="1" applyFont="1" applyBorder="1" applyAlignment="1">
      <alignment horizontal="center"/>
    </xf>
    <xf numFmtId="8" fontId="60" fillId="0" borderId="18" xfId="0" applyNumberFormat="1" applyFont="1" applyBorder="1" applyAlignment="1">
      <alignment horizontal="center"/>
    </xf>
    <xf numFmtId="8" fontId="60" fillId="0" borderId="0" xfId="0" applyNumberFormat="1" applyFont="1" applyAlignment="1">
      <alignment horizontal="center"/>
    </xf>
    <xf numFmtId="8" fontId="6" fillId="0" borderId="20" xfId="0" applyNumberFormat="1" applyFont="1" applyBorder="1" applyAlignment="1">
      <alignment horizontal="center"/>
    </xf>
    <xf numFmtId="8" fontId="6" fillId="0" borderId="8" xfId="0" applyNumberFormat="1" applyFont="1" applyBorder="1" applyAlignment="1">
      <alignment horizontal="center"/>
    </xf>
    <xf numFmtId="8" fontId="58" fillId="0" borderId="21" xfId="0" applyNumberFormat="1" applyFont="1" applyBorder="1" applyAlignment="1">
      <alignment horizontal="center"/>
    </xf>
    <xf numFmtId="8" fontId="58" fillId="0" borderId="9" xfId="0" applyNumberFormat="1" applyFont="1" applyBorder="1" applyAlignment="1">
      <alignment horizontal="center"/>
    </xf>
    <xf numFmtId="0" fontId="14" fillId="0" borderId="19" xfId="0" applyFont="1" applyBorder="1"/>
    <xf numFmtId="44" fontId="56" fillId="0" borderId="31" xfId="1" applyFont="1" applyFill="1" applyBorder="1" applyAlignment="1" applyProtection="1">
      <alignment horizontal="center"/>
    </xf>
    <xf numFmtId="8" fontId="56" fillId="0" borderId="31" xfId="1" applyNumberFormat="1" applyFont="1" applyFill="1" applyBorder="1" applyAlignment="1" applyProtection="1">
      <alignment horizontal="center"/>
    </xf>
    <xf numFmtId="44" fontId="56" fillId="0" borderId="31" xfId="0" applyNumberFormat="1" applyFont="1" applyBorder="1" applyAlignment="1">
      <alignment horizontal="center"/>
    </xf>
    <xf numFmtId="44" fontId="14" fillId="0" borderId="31" xfId="1" applyFont="1" applyFill="1" applyBorder="1" applyAlignment="1" applyProtection="1">
      <alignment horizontal="center"/>
    </xf>
    <xf numFmtId="8" fontId="14" fillId="0" borderId="31" xfId="1" applyNumberFormat="1" applyFont="1" applyFill="1" applyBorder="1" applyAlignment="1" applyProtection="1">
      <alignment horizontal="center"/>
    </xf>
    <xf numFmtId="44" fontId="56" fillId="0" borderId="30" xfId="1" applyFont="1" applyFill="1" applyBorder="1" applyAlignment="1" applyProtection="1">
      <alignment horizontal="center"/>
    </xf>
    <xf numFmtId="0" fontId="57" fillId="0" borderId="19" xfId="0" applyFont="1" applyBorder="1" applyAlignment="1">
      <alignment horizontal="left"/>
    </xf>
    <xf numFmtId="0" fontId="14" fillId="0" borderId="46" xfId="0" applyFont="1" applyBorder="1" applyAlignment="1" applyProtection="1">
      <alignment horizontal="left" indent="2"/>
      <protection locked="0"/>
    </xf>
    <xf numFmtId="0" fontId="14" fillId="0" borderId="19" xfId="0" applyFont="1" applyBorder="1" applyAlignment="1" applyProtection="1">
      <alignment horizontal="left"/>
      <protection locked="0"/>
    </xf>
    <xf numFmtId="0" fontId="57" fillId="0" borderId="0" xfId="0" applyFont="1" applyAlignment="1">
      <alignment horizontal="left"/>
    </xf>
    <xf numFmtId="44" fontId="59" fillId="0" borderId="39" xfId="0" applyNumberFormat="1" applyFont="1" applyBorder="1" applyAlignment="1">
      <alignment horizontal="center"/>
    </xf>
    <xf numFmtId="44" fontId="59" fillId="0" borderId="40" xfId="0" applyNumberFormat="1" applyFont="1" applyBorder="1" applyAlignment="1">
      <alignment horizontal="center"/>
    </xf>
    <xf numFmtId="44" fontId="59" fillId="0" borderId="41" xfId="0" applyNumberFormat="1" applyFont="1" applyBorder="1" applyAlignment="1">
      <alignment horizontal="center"/>
    </xf>
    <xf numFmtId="8" fontId="59" fillId="0" borderId="0" xfId="0" applyNumberFormat="1" applyFont="1" applyAlignment="1">
      <alignment horizontal="center"/>
    </xf>
    <xf numFmtId="44" fontId="59" fillId="0" borderId="39" xfId="1" applyFont="1" applyFill="1" applyBorder="1" applyAlignment="1" applyProtection="1">
      <alignment horizontal="center"/>
    </xf>
    <xf numFmtId="44" fontId="59" fillId="0" borderId="41" xfId="1" applyFont="1" applyFill="1" applyBorder="1" applyAlignment="1" applyProtection="1">
      <alignment horizontal="center"/>
    </xf>
    <xf numFmtId="44" fontId="59" fillId="0" borderId="29" xfId="1" applyFont="1" applyFill="1" applyBorder="1" applyAlignment="1" applyProtection="1">
      <alignment horizontal="center"/>
    </xf>
    <xf numFmtId="0" fontId="61" fillId="0" borderId="31" xfId="0" applyFont="1" applyBorder="1" applyAlignment="1">
      <alignment horizontal="left"/>
    </xf>
    <xf numFmtId="8" fontId="61" fillId="0" borderId="17" xfId="0" applyNumberFormat="1" applyFont="1" applyBorder="1" applyAlignment="1">
      <alignment horizontal="center"/>
    </xf>
    <xf numFmtId="165" fontId="61" fillId="0" borderId="17" xfId="0" applyNumberFormat="1" applyFont="1" applyBorder="1" applyAlignment="1">
      <alignment horizontal="center"/>
    </xf>
    <xf numFmtId="165" fontId="61" fillId="0" borderId="31" xfId="0" applyNumberFormat="1" applyFont="1" applyBorder="1" applyAlignment="1">
      <alignment horizontal="center"/>
    </xf>
    <xf numFmtId="8" fontId="61" fillId="0" borderId="33" xfId="0" applyNumberFormat="1" applyFont="1" applyBorder="1" applyAlignment="1">
      <alignment horizontal="center"/>
    </xf>
    <xf numFmtId="0" fontId="6" fillId="0" borderId="0" xfId="0" applyFont="1" applyAlignment="1">
      <alignment horizontal="center"/>
    </xf>
    <xf numFmtId="8" fontId="59" fillId="0" borderId="18" xfId="0" applyNumberFormat="1" applyFont="1" applyBorder="1" applyAlignment="1">
      <alignment horizontal="center"/>
    </xf>
    <xf numFmtId="8" fontId="59" fillId="0" borderId="0" xfId="1" applyNumberFormat="1" applyFont="1" applyFill="1" applyBorder="1" applyAlignment="1" applyProtection="1">
      <alignment horizontal="center"/>
    </xf>
    <xf numFmtId="0" fontId="6" fillId="6" borderId="50" xfId="0" applyFont="1" applyFill="1" applyBorder="1" applyAlignment="1">
      <alignment horizontal="center"/>
    </xf>
    <xf numFmtId="44" fontId="56" fillId="0" borderId="32" xfId="1" applyFont="1" applyFill="1" applyBorder="1" applyAlignment="1" applyProtection="1">
      <alignment horizontal="center"/>
    </xf>
    <xf numFmtId="44" fontId="59" fillId="0" borderId="17" xfId="1" applyFont="1" applyFill="1" applyBorder="1" applyAlignment="1" applyProtection="1">
      <alignment horizontal="center"/>
    </xf>
    <xf numFmtId="8" fontId="59" fillId="0" borderId="22" xfId="1" applyNumberFormat="1" applyFont="1" applyFill="1" applyBorder="1" applyAlignment="1" applyProtection="1">
      <alignment horizontal="center"/>
    </xf>
    <xf numFmtId="44" fontId="59" fillId="0" borderId="11" xfId="1" applyFont="1" applyFill="1" applyBorder="1" applyAlignment="1" applyProtection="1">
      <alignment horizontal="center"/>
    </xf>
    <xf numFmtId="44" fontId="59" fillId="0" borderId="28" xfId="1" applyFont="1" applyFill="1" applyBorder="1" applyAlignment="1" applyProtection="1">
      <alignment horizontal="center"/>
    </xf>
    <xf numFmtId="44" fontId="59" fillId="0" borderId="15" xfId="1" applyFont="1" applyFill="1" applyBorder="1" applyAlignment="1" applyProtection="1">
      <alignment horizontal="center"/>
    </xf>
    <xf numFmtId="0" fontId="62" fillId="0" borderId="0" xfId="0" applyFont="1"/>
    <xf numFmtId="8" fontId="61" fillId="0" borderId="22" xfId="0" applyNumberFormat="1" applyFont="1" applyBorder="1" applyAlignment="1">
      <alignment horizontal="center"/>
    </xf>
    <xf numFmtId="8" fontId="61" fillId="0" borderId="0" xfId="0" applyNumberFormat="1" applyFont="1" applyAlignment="1">
      <alignment horizontal="center"/>
    </xf>
    <xf numFmtId="8" fontId="61" fillId="0" borderId="23" xfId="0" applyNumberFormat="1" applyFont="1" applyBorder="1" applyAlignment="1">
      <alignment horizontal="center"/>
    </xf>
    <xf numFmtId="0" fontId="57" fillId="0" borderId="0" xfId="0" applyFont="1"/>
    <xf numFmtId="8" fontId="53" fillId="0" borderId="18" xfId="0" applyNumberFormat="1" applyFont="1" applyBorder="1" applyAlignment="1">
      <alignment horizontal="center"/>
    </xf>
    <xf numFmtId="8" fontId="53" fillId="0" borderId="0" xfId="0" applyNumberFormat="1" applyFont="1" applyAlignment="1">
      <alignment horizontal="center"/>
    </xf>
    <xf numFmtId="8" fontId="53" fillId="0" borderId="19" xfId="0" applyNumberFormat="1" applyFont="1" applyBorder="1" applyAlignment="1">
      <alignment horizontal="center"/>
    </xf>
    <xf numFmtId="8" fontId="63" fillId="0" borderId="0" xfId="0" applyNumberFormat="1" applyFont="1" applyAlignment="1">
      <alignment horizontal="center"/>
    </xf>
    <xf numFmtId="8" fontId="53" fillId="0" borderId="5" xfId="0" applyNumberFormat="1" applyFont="1" applyBorder="1" applyAlignment="1">
      <alignment horizontal="center"/>
    </xf>
    <xf numFmtId="0" fontId="57" fillId="0" borderId="50" xfId="0" applyFont="1" applyBorder="1" applyAlignment="1">
      <alignment horizontal="left"/>
    </xf>
    <xf numFmtId="44" fontId="59" fillId="0" borderId="32" xfId="1" applyFont="1" applyFill="1" applyBorder="1" applyAlignment="1" applyProtection="1">
      <alignment horizontal="center"/>
    </xf>
    <xf numFmtId="8" fontId="59" fillId="0" borderId="31" xfId="0" applyNumberFormat="1" applyFont="1" applyBorder="1" applyAlignment="1">
      <alignment horizontal="center"/>
    </xf>
    <xf numFmtId="44" fontId="59" fillId="0" borderId="34" xfId="1" applyFont="1" applyFill="1" applyBorder="1" applyAlignment="1" applyProtection="1">
      <alignment horizontal="center"/>
    </xf>
    <xf numFmtId="0" fontId="57" fillId="0" borderId="48" xfId="0" applyFont="1" applyBorder="1" applyAlignment="1">
      <alignment horizontal="left"/>
    </xf>
    <xf numFmtId="8" fontId="59" fillId="0" borderId="28" xfId="0" applyNumberFormat="1" applyFont="1" applyBorder="1" applyAlignment="1">
      <alignment horizontal="center"/>
    </xf>
    <xf numFmtId="0" fontId="62" fillId="0" borderId="31" xfId="0" applyFont="1" applyBorder="1" applyAlignment="1">
      <alignment horizontal="left"/>
    </xf>
    <xf numFmtId="8" fontId="61" fillId="0" borderId="31" xfId="0" applyNumberFormat="1" applyFont="1" applyBorder="1" applyAlignment="1">
      <alignment horizontal="center"/>
    </xf>
    <xf numFmtId="8" fontId="59" fillId="0" borderId="22" xfId="0" applyNumberFormat="1" applyFont="1" applyBorder="1" applyAlignment="1">
      <alignment horizontal="center"/>
    </xf>
    <xf numFmtId="44" fontId="59" fillId="0" borderId="33" xfId="1" applyFont="1" applyFill="1" applyBorder="1" applyAlignment="1" applyProtection="1">
      <alignment horizontal="center"/>
    </xf>
    <xf numFmtId="165" fontId="61" fillId="0" borderId="61" xfId="0" applyNumberFormat="1" applyFont="1" applyBorder="1" applyAlignment="1">
      <alignment horizontal="left" vertical="center"/>
    </xf>
    <xf numFmtId="0" fontId="62" fillId="0" borderId="27" xfId="0" applyFont="1" applyBorder="1" applyAlignment="1">
      <alignment horizontal="left"/>
    </xf>
    <xf numFmtId="40" fontId="61" fillId="0" borderId="38" xfId="0" applyNumberFormat="1" applyFont="1" applyBorder="1" applyAlignment="1">
      <alignment horizontal="center"/>
    </xf>
    <xf numFmtId="8" fontId="61" fillId="0" borderId="38" xfId="0" applyNumberFormat="1" applyFont="1" applyBorder="1" applyAlignment="1">
      <alignment horizontal="center"/>
    </xf>
    <xf numFmtId="8" fontId="61" fillId="0" borderId="13" xfId="0" applyNumberFormat="1" applyFont="1" applyBorder="1" applyAlignment="1">
      <alignment horizontal="center"/>
    </xf>
    <xf numFmtId="40" fontId="61" fillId="0" borderId="45" xfId="0" applyNumberFormat="1" applyFont="1" applyBorder="1" applyAlignment="1">
      <alignment horizontal="center"/>
    </xf>
    <xf numFmtId="8" fontId="57" fillId="0" borderId="51" xfId="0" applyNumberFormat="1" applyFont="1" applyBorder="1" applyAlignment="1">
      <alignment horizontal="center"/>
    </xf>
    <xf numFmtId="8" fontId="57" fillId="0" borderId="52" xfId="0" applyNumberFormat="1" applyFont="1" applyBorder="1" applyAlignment="1">
      <alignment horizontal="center"/>
    </xf>
    <xf numFmtId="8" fontId="56" fillId="0" borderId="53" xfId="0" applyNumberFormat="1" applyFont="1" applyBorder="1" applyAlignment="1">
      <alignment horizontal="center"/>
    </xf>
    <xf numFmtId="8" fontId="14" fillId="0" borderId="51" xfId="0" applyNumberFormat="1" applyFont="1" applyBorder="1" applyAlignment="1">
      <alignment horizontal="center"/>
    </xf>
    <xf numFmtId="8" fontId="14" fillId="0" borderId="52" xfId="0" applyNumberFormat="1" applyFont="1" applyBorder="1" applyAlignment="1">
      <alignment horizontal="center"/>
    </xf>
    <xf numFmtId="8" fontId="56" fillId="0" borderId="54" xfId="0" applyNumberFormat="1" applyFont="1" applyBorder="1" applyAlignment="1">
      <alignment horizontal="center"/>
    </xf>
    <xf numFmtId="8" fontId="57" fillId="0" borderId="18" xfId="0" applyNumberFormat="1" applyFont="1" applyBorder="1" applyAlignment="1">
      <alignment horizontal="center"/>
    </xf>
    <xf numFmtId="8" fontId="57" fillId="0" borderId="0" xfId="0" applyNumberFormat="1" applyFont="1" applyAlignment="1">
      <alignment horizontal="center"/>
    </xf>
    <xf numFmtId="44" fontId="6" fillId="0" borderId="0" xfId="0" applyNumberFormat="1" applyFont="1"/>
    <xf numFmtId="164" fontId="53" fillId="0" borderId="5" xfId="0" applyNumberFormat="1" applyFont="1" applyBorder="1"/>
    <xf numFmtId="0" fontId="14" fillId="0" borderId="4" xfId="0" applyFont="1" applyBorder="1"/>
    <xf numFmtId="0" fontId="14" fillId="0" borderId="18" xfId="0" applyFont="1" applyBorder="1"/>
    <xf numFmtId="9" fontId="6" fillId="6" borderId="17" xfId="2" applyFont="1" applyFill="1" applyBorder="1" applyAlignment="1" applyProtection="1">
      <alignment horizontal="center"/>
    </xf>
    <xf numFmtId="9" fontId="6" fillId="0" borderId="0" xfId="0" applyNumberFormat="1" applyFont="1" applyAlignment="1">
      <alignment horizontal="center"/>
    </xf>
    <xf numFmtId="0" fontId="6" fillId="0" borderId="18" xfId="0" applyFont="1" applyBorder="1" applyAlignment="1">
      <alignment horizontal="center"/>
    </xf>
    <xf numFmtId="0" fontId="14" fillId="0" borderId="0" xfId="0" applyFont="1" applyAlignment="1">
      <alignment horizontal="center"/>
    </xf>
    <xf numFmtId="9" fontId="6" fillId="0" borderId="18" xfId="0" applyNumberFormat="1" applyFont="1" applyBorder="1" applyAlignment="1">
      <alignment horizontal="center"/>
    </xf>
    <xf numFmtId="0" fontId="14" fillId="0" borderId="18" xfId="0" applyFont="1" applyBorder="1" applyAlignment="1">
      <alignment horizontal="center"/>
    </xf>
    <xf numFmtId="0" fontId="14" fillId="0" borderId="19" xfId="0" applyFont="1" applyBorder="1" applyAlignment="1">
      <alignment horizontal="center"/>
    </xf>
    <xf numFmtId="0" fontId="14" fillId="0" borderId="5" xfId="0" applyFont="1" applyBorder="1" applyAlignment="1">
      <alignment horizontal="center"/>
    </xf>
    <xf numFmtId="0" fontId="57" fillId="0" borderId="4" xfId="0" applyFont="1" applyBorder="1" applyAlignment="1">
      <alignment horizontal="left"/>
    </xf>
    <xf numFmtId="165" fontId="6" fillId="6" borderId="32" xfId="0" applyNumberFormat="1" applyFont="1" applyFill="1" applyBorder="1" applyAlignment="1">
      <alignment horizontal="center"/>
    </xf>
    <xf numFmtId="165" fontId="6" fillId="0" borderId="0" xfId="0" applyNumberFormat="1" applyFont="1" applyAlignment="1">
      <alignment horizontal="left"/>
    </xf>
    <xf numFmtId="165" fontId="6" fillId="0" borderId="19" xfId="0" applyNumberFormat="1" applyFont="1" applyBorder="1" applyAlignment="1">
      <alignment horizontal="center"/>
    </xf>
    <xf numFmtId="165" fontId="6" fillId="0" borderId="0" xfId="0" applyNumberFormat="1" applyFont="1" applyAlignment="1">
      <alignment horizontal="center"/>
    </xf>
    <xf numFmtId="165" fontId="6" fillId="0" borderId="5" xfId="0" applyNumberFormat="1" applyFont="1" applyBorder="1" applyAlignment="1">
      <alignment horizontal="center"/>
    </xf>
    <xf numFmtId="2" fontId="6" fillId="6" borderId="22" xfId="0" applyNumberFormat="1" applyFont="1" applyFill="1" applyBorder="1" applyAlignment="1">
      <alignment horizontal="center"/>
    </xf>
    <xf numFmtId="2" fontId="6" fillId="0" borderId="0" xfId="0" applyNumberFormat="1" applyFont="1" applyAlignment="1">
      <alignment horizontal="left"/>
    </xf>
    <xf numFmtId="2" fontId="6" fillId="0" borderId="19" xfId="0" applyNumberFormat="1" applyFont="1" applyBorder="1" applyAlignment="1">
      <alignment horizontal="center"/>
    </xf>
    <xf numFmtId="2" fontId="6" fillId="0" borderId="0" xfId="0" applyNumberFormat="1" applyFont="1" applyAlignment="1">
      <alignment horizontal="center"/>
    </xf>
    <xf numFmtId="2" fontId="6" fillId="0" borderId="5" xfId="0" applyNumberFormat="1" applyFont="1" applyBorder="1" applyAlignment="1">
      <alignment horizontal="center"/>
    </xf>
    <xf numFmtId="2" fontId="6" fillId="0" borderId="18" xfId="0" applyNumberFormat="1" applyFont="1" applyBorder="1" applyAlignment="1">
      <alignment horizontal="center"/>
    </xf>
    <xf numFmtId="0" fontId="6" fillId="0" borderId="56" xfId="0" applyFont="1" applyBorder="1" applyAlignment="1">
      <alignment horizontal="left"/>
    </xf>
    <xf numFmtId="2" fontId="6" fillId="0" borderId="55" xfId="0" applyNumberFormat="1" applyFont="1" applyBorder="1" applyAlignment="1">
      <alignment horizontal="center"/>
    </xf>
    <xf numFmtId="2" fontId="6" fillId="0" borderId="56" xfId="0" applyNumberFormat="1" applyFont="1" applyBorder="1" applyAlignment="1">
      <alignment horizontal="center"/>
    </xf>
    <xf numFmtId="2" fontId="6" fillId="0" borderId="42" xfId="0" applyNumberFormat="1" applyFont="1" applyBorder="1" applyAlignment="1">
      <alignment horizontal="center"/>
    </xf>
    <xf numFmtId="2" fontId="6" fillId="0" borderId="62" xfId="0" applyNumberFormat="1" applyFont="1" applyBorder="1" applyAlignment="1">
      <alignment horizontal="center"/>
    </xf>
    <xf numFmtId="0" fontId="14" fillId="0" borderId="5" xfId="0" applyFont="1" applyBorder="1"/>
    <xf numFmtId="0" fontId="6" fillId="0" borderId="4" xfId="0" applyFont="1" applyBorder="1" applyProtection="1">
      <protection locked="0"/>
    </xf>
    <xf numFmtId="0" fontId="6" fillId="0" borderId="0" xfId="0" applyFont="1" applyProtection="1">
      <protection locked="0"/>
    </xf>
    <xf numFmtId="0" fontId="18" fillId="5" borderId="17" xfId="0" applyFont="1" applyFill="1" applyBorder="1" applyAlignment="1" applyProtection="1">
      <alignment horizontal="center"/>
      <protection locked="0"/>
    </xf>
    <xf numFmtId="0" fontId="18" fillId="5" borderId="33" xfId="0" applyFont="1" applyFill="1" applyBorder="1" applyAlignment="1" applyProtection="1">
      <alignment horizontal="center"/>
      <protection locked="0"/>
    </xf>
    <xf numFmtId="2" fontId="58" fillId="0" borderId="17" xfId="0" applyNumberFormat="1" applyFont="1" applyBorder="1" applyAlignment="1" applyProtection="1">
      <alignment horizontal="center"/>
      <protection locked="0"/>
    </xf>
    <xf numFmtId="0" fontId="6" fillId="0" borderId="4" xfId="0" applyFont="1" applyBorder="1"/>
    <xf numFmtId="0" fontId="18" fillId="4" borderId="17" xfId="0" applyFont="1" applyFill="1" applyBorder="1" applyAlignment="1">
      <alignment horizontal="center"/>
    </xf>
    <xf numFmtId="0" fontId="18" fillId="4" borderId="33" xfId="0" applyFont="1" applyFill="1" applyBorder="1" applyAlignment="1">
      <alignment horizontal="center"/>
    </xf>
    <xf numFmtId="1" fontId="58" fillId="0" borderId="17" xfId="0" applyNumberFormat="1" applyFont="1" applyBorder="1" applyAlignment="1">
      <alignment horizontal="center"/>
    </xf>
    <xf numFmtId="0" fontId="58" fillId="0" borderId="0" xfId="0" applyFont="1" applyAlignment="1">
      <alignment horizontal="center"/>
    </xf>
    <xf numFmtId="1" fontId="58" fillId="0" borderId="33" xfId="0" applyNumberFormat="1" applyFont="1" applyBorder="1" applyAlignment="1">
      <alignment horizontal="center"/>
    </xf>
    <xf numFmtId="2" fontId="58" fillId="0" borderId="17" xfId="0" applyNumberFormat="1" applyFont="1" applyBorder="1" applyAlignment="1">
      <alignment horizontal="center"/>
    </xf>
    <xf numFmtId="0" fontId="58" fillId="0" borderId="31" xfId="0" applyFont="1" applyBorder="1" applyAlignment="1">
      <alignment horizontal="center"/>
    </xf>
    <xf numFmtId="2" fontId="58" fillId="0" borderId="33" xfId="0" applyNumberFormat="1" applyFont="1" applyBorder="1" applyAlignment="1">
      <alignment horizontal="center"/>
    </xf>
    <xf numFmtId="2" fontId="58" fillId="0" borderId="0" xfId="0" applyNumberFormat="1" applyFont="1" applyAlignment="1">
      <alignment horizontal="center"/>
    </xf>
    <xf numFmtId="2" fontId="58" fillId="0" borderId="5" xfId="0" applyNumberFormat="1" applyFont="1"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2" fontId="6" fillId="0" borderId="13" xfId="0" applyNumberFormat="1" applyFont="1" applyBorder="1" applyAlignment="1">
      <alignment horizontal="center"/>
    </xf>
    <xf numFmtId="0" fontId="14" fillId="0" borderId="4" xfId="0" applyFont="1" applyBorder="1" applyAlignment="1">
      <alignment horizontal="center"/>
    </xf>
    <xf numFmtId="0" fontId="52" fillId="0" borderId="13" xfId="3" applyFont="1" applyBorder="1" applyAlignment="1" applyProtection="1">
      <alignment horizontal="left"/>
      <protection locked="0"/>
    </xf>
    <xf numFmtId="0" fontId="52" fillId="0" borderId="6" xfId="3" applyFont="1" applyBorder="1" applyAlignment="1" applyProtection="1">
      <alignment horizontal="left"/>
      <protection locked="0"/>
    </xf>
    <xf numFmtId="0" fontId="29" fillId="0" borderId="12" xfId="0" applyFont="1" applyBorder="1" applyAlignment="1">
      <alignment horizontal="right" vertical="center"/>
    </xf>
    <xf numFmtId="0" fontId="6" fillId="6" borderId="32" xfId="0" applyFont="1" applyFill="1" applyBorder="1" applyAlignment="1">
      <alignment horizontal="center"/>
    </xf>
    <xf numFmtId="44" fontId="22" fillId="0" borderId="8" xfId="0" applyNumberFormat="1" applyFont="1" applyBorder="1" applyAlignment="1">
      <alignment horizontal="center"/>
    </xf>
    <xf numFmtId="2" fontId="9" fillId="0" borderId="0" xfId="0" applyNumberFormat="1" applyFont="1"/>
    <xf numFmtId="0" fontId="18" fillId="11" borderId="17" xfId="0" applyFont="1" applyFill="1" applyBorder="1" applyAlignment="1">
      <alignment horizontal="center"/>
    </xf>
    <xf numFmtId="1" fontId="54" fillId="7" borderId="17" xfId="0" applyNumberFormat="1" applyFont="1" applyFill="1" applyBorder="1" applyAlignment="1" applyProtection="1">
      <alignment horizontal="center"/>
      <protection locked="0"/>
    </xf>
    <xf numFmtId="0" fontId="44" fillId="0" borderId="67" xfId="0" applyFont="1" applyBorder="1" applyAlignment="1">
      <alignment horizontal="left"/>
    </xf>
    <xf numFmtId="0" fontId="68" fillId="0" borderId="44" xfId="0" applyFont="1" applyBorder="1" applyAlignment="1">
      <alignment horizontal="left"/>
    </xf>
    <xf numFmtId="0" fontId="61" fillId="0" borderId="67" xfId="0" applyFont="1" applyBorder="1"/>
    <xf numFmtId="0" fontId="45" fillId="0" borderId="61" xfId="0" applyFont="1" applyBorder="1"/>
    <xf numFmtId="165" fontId="61" fillId="0" borderId="67" xfId="0" applyNumberFormat="1" applyFont="1" applyBorder="1" applyAlignment="1">
      <alignment horizontal="left" vertical="center"/>
    </xf>
    <xf numFmtId="165" fontId="45" fillId="0" borderId="61" xfId="0" applyNumberFormat="1" applyFont="1" applyBorder="1" applyAlignment="1">
      <alignment horizontal="left" vertical="center"/>
    </xf>
    <xf numFmtId="0" fontId="69" fillId="7" borderId="17" xfId="0" applyFont="1" applyFill="1" applyBorder="1" applyAlignment="1" applyProtection="1">
      <alignment horizontal="left"/>
      <protection locked="0"/>
    </xf>
    <xf numFmtId="0" fontId="69" fillId="7" borderId="17" xfId="0" applyFont="1" applyFill="1" applyBorder="1" applyAlignment="1" applyProtection="1">
      <alignment horizontal="center"/>
      <protection locked="0"/>
    </xf>
    <xf numFmtId="0" fontId="50" fillId="12" borderId="0" xfId="0" applyFont="1" applyFill="1" applyAlignment="1">
      <alignment horizontal="center"/>
    </xf>
    <xf numFmtId="0" fontId="70" fillId="0" borderId="0" xfId="0" applyFont="1" applyAlignment="1">
      <alignment horizontal="center"/>
    </xf>
    <xf numFmtId="49" fontId="70" fillId="0" borderId="0" xfId="0" applyNumberFormat="1" applyFont="1" applyAlignment="1">
      <alignment horizontal="center"/>
    </xf>
    <xf numFmtId="0" fontId="25" fillId="0" borderId="0" xfId="0" applyFont="1" applyAlignment="1">
      <alignment horizontal="center"/>
    </xf>
    <xf numFmtId="2" fontId="70" fillId="0" borderId="0" xfId="0" applyNumberFormat="1" applyFont="1" applyAlignment="1">
      <alignment horizontal="center"/>
    </xf>
    <xf numFmtId="0" fontId="69" fillId="7" borderId="17" xfId="0" applyFont="1" applyFill="1" applyBorder="1" applyAlignment="1" applyProtection="1">
      <alignment horizontal="right"/>
      <protection locked="0"/>
    </xf>
    <xf numFmtId="0" fontId="71" fillId="0" borderId="0" xfId="0" applyFont="1" applyAlignment="1">
      <alignment horizontal="left"/>
    </xf>
    <xf numFmtId="0" fontId="70" fillId="0" borderId="0" xfId="0" applyFont="1"/>
    <xf numFmtId="0" fontId="69" fillId="0" borderId="0" xfId="0" applyFont="1" applyAlignment="1" applyProtection="1">
      <alignment horizontal="left"/>
      <protection locked="0"/>
    </xf>
    <xf numFmtId="0" fontId="69" fillId="0" borderId="0" xfId="0" applyFont="1" applyAlignment="1" applyProtection="1">
      <alignment horizontal="center"/>
      <protection locked="0"/>
    </xf>
    <xf numFmtId="0" fontId="19" fillId="12" borderId="12" xfId="0" applyFont="1" applyFill="1" applyBorder="1"/>
    <xf numFmtId="0" fontId="19" fillId="12" borderId="13" xfId="0" applyFont="1" applyFill="1" applyBorder="1"/>
    <xf numFmtId="0" fontId="19" fillId="12" borderId="6" xfId="0" applyFont="1" applyFill="1" applyBorder="1"/>
    <xf numFmtId="0" fontId="19" fillId="8" borderId="4" xfId="0" applyFont="1" applyFill="1" applyBorder="1"/>
    <xf numFmtId="0" fontId="19" fillId="8" borderId="0" xfId="0" applyFont="1" applyFill="1"/>
    <xf numFmtId="0" fontId="19" fillId="8" borderId="5" xfId="0" applyFont="1" applyFill="1" applyBorder="1"/>
    <xf numFmtId="0" fontId="57" fillId="0" borderId="13" xfId="0" applyFont="1" applyBorder="1" applyAlignment="1">
      <alignment horizontal="left"/>
    </xf>
    <xf numFmtId="8" fontId="53" fillId="0" borderId="26" xfId="0" applyNumberFormat="1" applyFont="1" applyBorder="1" applyAlignment="1">
      <alignment horizontal="center"/>
    </xf>
    <xf numFmtId="8" fontId="53" fillId="0" borderId="13" xfId="0" applyNumberFormat="1" applyFont="1" applyBorder="1" applyAlignment="1">
      <alignment horizontal="center"/>
    </xf>
    <xf numFmtId="8" fontId="53" fillId="0" borderId="27" xfId="0" applyNumberFormat="1" applyFont="1" applyBorder="1" applyAlignment="1">
      <alignment horizontal="center"/>
    </xf>
    <xf numFmtId="8" fontId="53" fillId="0" borderId="6" xfId="0" applyNumberFormat="1" applyFont="1" applyBorder="1" applyAlignment="1">
      <alignment horizontal="center"/>
    </xf>
    <xf numFmtId="0" fontId="20" fillId="0" borderId="62" xfId="0" applyFont="1" applyBorder="1"/>
    <xf numFmtId="0" fontId="31" fillId="0" borderId="5" xfId="0" applyFont="1" applyBorder="1"/>
    <xf numFmtId="8" fontId="55" fillId="0" borderId="5" xfId="0" applyNumberFormat="1" applyFont="1" applyBorder="1" applyAlignment="1">
      <alignment horizontal="center"/>
    </xf>
    <xf numFmtId="8" fontId="14" fillId="0" borderId="5" xfId="0" applyNumberFormat="1" applyFont="1" applyBorder="1" applyAlignment="1">
      <alignment horizontal="center"/>
    </xf>
    <xf numFmtId="8" fontId="58" fillId="0" borderId="34" xfId="0" applyNumberFormat="1" applyFont="1" applyBorder="1" applyAlignment="1">
      <alignment horizontal="center"/>
    </xf>
    <xf numFmtId="44" fontId="59" fillId="0" borderId="68" xfId="1" applyFont="1" applyFill="1" applyBorder="1" applyAlignment="1" applyProtection="1">
      <alignment horizontal="center"/>
    </xf>
    <xf numFmtId="1" fontId="3" fillId="0" borderId="0" xfId="0" applyNumberFormat="1" applyFont="1"/>
    <xf numFmtId="0" fontId="0" fillId="0" borderId="0" xfId="0" quotePrefix="1"/>
    <xf numFmtId="49" fontId="0" fillId="0" borderId="0" xfId="0" applyNumberFormat="1"/>
    <xf numFmtId="0" fontId="14" fillId="8" borderId="0" xfId="0" applyFont="1" applyFill="1"/>
    <xf numFmtId="0" fontId="14" fillId="8" borderId="0" xfId="0" applyFont="1" applyFill="1" applyProtection="1">
      <protection locked="0"/>
    </xf>
    <xf numFmtId="0" fontId="14" fillId="8" borderId="0" xfId="0" applyFont="1" applyFill="1" applyAlignment="1" applyProtection="1">
      <alignment horizontal="center"/>
      <protection locked="0"/>
    </xf>
    <xf numFmtId="1" fontId="14" fillId="8" borderId="0" xfId="0" applyNumberFormat="1" applyFont="1" applyFill="1" applyAlignment="1" applyProtection="1">
      <alignment horizontal="center"/>
      <protection locked="0"/>
    </xf>
    <xf numFmtId="0" fontId="56" fillId="8" borderId="0" xfId="0" applyFont="1" applyFill="1" applyProtection="1">
      <protection locked="0"/>
    </xf>
    <xf numFmtId="1" fontId="58" fillId="8" borderId="0" xfId="0" applyNumberFormat="1" applyFont="1" applyFill="1" applyAlignment="1" applyProtection="1">
      <alignment horizontal="center"/>
      <protection locked="0"/>
    </xf>
    <xf numFmtId="1" fontId="58" fillId="8" borderId="0" xfId="0" applyNumberFormat="1" applyFont="1" applyFill="1" applyAlignment="1">
      <alignment horizontal="center"/>
    </xf>
    <xf numFmtId="0" fontId="14" fillId="8" borderId="21" xfId="0" applyFont="1" applyFill="1" applyBorder="1"/>
    <xf numFmtId="0" fontId="14" fillId="8" borderId="8" xfId="0" applyFont="1" applyFill="1" applyBorder="1"/>
    <xf numFmtId="0" fontId="14" fillId="8" borderId="20" xfId="0" applyFont="1" applyFill="1" applyBorder="1"/>
    <xf numFmtId="0" fontId="58" fillId="8" borderId="0" xfId="0" applyFont="1" applyFill="1" applyAlignment="1">
      <alignment horizontal="center"/>
    </xf>
    <xf numFmtId="0" fontId="14" fillId="8" borderId="18" xfId="0" applyFont="1" applyFill="1" applyBorder="1"/>
    <xf numFmtId="1" fontId="58" fillId="8" borderId="19" xfId="0" applyNumberFormat="1" applyFont="1" applyFill="1" applyBorder="1" applyAlignment="1">
      <alignment horizontal="center"/>
    </xf>
    <xf numFmtId="0" fontId="6" fillId="8" borderId="0" xfId="0" applyFont="1" applyFill="1" applyAlignment="1">
      <alignment horizontal="center"/>
    </xf>
    <xf numFmtId="1" fontId="58" fillId="8" borderId="18" xfId="0" applyNumberFormat="1" applyFont="1" applyFill="1" applyBorder="1" applyAlignment="1">
      <alignment horizontal="center"/>
    </xf>
    <xf numFmtId="0" fontId="18" fillId="12" borderId="17" xfId="0" applyFont="1" applyFill="1" applyBorder="1" applyAlignment="1">
      <alignment horizontal="center"/>
    </xf>
    <xf numFmtId="1" fontId="58" fillId="8" borderId="17" xfId="0" applyNumberFormat="1" applyFont="1" applyFill="1" applyBorder="1" applyAlignment="1">
      <alignment horizontal="center"/>
    </xf>
    <xf numFmtId="0" fontId="18" fillId="12" borderId="42" xfId="0" applyFont="1" applyFill="1" applyBorder="1" applyAlignment="1">
      <alignment horizontal="center"/>
    </xf>
    <xf numFmtId="0" fontId="18" fillId="12" borderId="55" xfId="0" applyFont="1" applyFill="1" applyBorder="1" applyAlignment="1">
      <alignment horizontal="center"/>
    </xf>
    <xf numFmtId="0" fontId="25" fillId="8" borderId="0" xfId="0" applyFont="1" applyFill="1" applyAlignment="1">
      <alignment vertical="center"/>
    </xf>
    <xf numFmtId="0" fontId="18" fillId="12" borderId="22" xfId="0" applyFont="1" applyFill="1" applyBorder="1" applyAlignment="1">
      <alignment horizontal="center"/>
    </xf>
    <xf numFmtId="0" fontId="64" fillId="8" borderId="0" xfId="0" applyFont="1" applyFill="1" applyAlignment="1">
      <alignment horizontal="center"/>
    </xf>
    <xf numFmtId="0" fontId="65" fillId="8" borderId="0" xfId="0" applyFont="1" applyFill="1"/>
    <xf numFmtId="1" fontId="18" fillId="8" borderId="17" xfId="0" applyNumberFormat="1" applyFont="1" applyFill="1" applyBorder="1" applyAlignment="1">
      <alignment horizontal="center"/>
    </xf>
    <xf numFmtId="0" fontId="31" fillId="8" borderId="19" xfId="0" applyFont="1" applyFill="1" applyBorder="1" applyAlignment="1">
      <alignment horizontal="center" wrapText="1"/>
    </xf>
    <xf numFmtId="0" fontId="14" fillId="8" borderId="19" xfId="0" applyFont="1" applyFill="1" applyBorder="1"/>
    <xf numFmtId="1" fontId="54" fillId="8" borderId="37" xfId="0" applyNumberFormat="1" applyFont="1" applyFill="1" applyBorder="1" applyAlignment="1" applyProtection="1">
      <alignment horizontal="center"/>
      <protection locked="0"/>
    </xf>
    <xf numFmtId="1" fontId="54" fillId="8" borderId="10" xfId="0" applyNumberFormat="1" applyFont="1" applyFill="1" applyBorder="1" applyAlignment="1" applyProtection="1">
      <alignment horizontal="center"/>
      <protection locked="0"/>
    </xf>
    <xf numFmtId="1" fontId="54" fillId="8" borderId="36" xfId="0" applyNumberFormat="1" applyFont="1" applyFill="1" applyBorder="1" applyAlignment="1" applyProtection="1">
      <alignment horizontal="center"/>
      <protection locked="0"/>
    </xf>
    <xf numFmtId="0" fontId="58" fillId="8" borderId="0" xfId="0" applyFont="1" applyFill="1" applyAlignment="1">
      <alignment horizontal="center" vertical="center"/>
    </xf>
    <xf numFmtId="0" fontId="18" fillId="5" borderId="17" xfId="0" applyFont="1" applyFill="1" applyBorder="1" applyAlignment="1">
      <alignment horizontal="center"/>
    </xf>
    <xf numFmtId="0" fontId="72" fillId="8" borderId="0" xfId="0" applyFont="1" applyFill="1"/>
    <xf numFmtId="0" fontId="14" fillId="8" borderId="0" xfId="0" applyFont="1" applyFill="1" applyAlignment="1">
      <alignment horizontal="center"/>
    </xf>
    <xf numFmtId="0" fontId="18" fillId="8" borderId="0" xfId="0" applyFont="1" applyFill="1" applyAlignment="1">
      <alignment horizontal="center" vertical="center"/>
    </xf>
    <xf numFmtId="0" fontId="18" fillId="8" borderId="0" xfId="0" applyFont="1" applyFill="1" applyAlignment="1">
      <alignment horizontal="center"/>
    </xf>
    <xf numFmtId="0" fontId="18" fillId="13" borderId="17" xfId="0" applyFont="1" applyFill="1" applyBorder="1" applyAlignment="1">
      <alignment horizontal="center"/>
    </xf>
    <xf numFmtId="0" fontId="31" fillId="8" borderId="37" xfId="0" applyFont="1" applyFill="1" applyBorder="1" applyAlignment="1">
      <alignment horizontal="center"/>
    </xf>
    <xf numFmtId="0" fontId="31" fillId="8" borderId="10" xfId="0" applyFont="1" applyFill="1" applyBorder="1" applyAlignment="1">
      <alignment horizontal="center"/>
    </xf>
    <xf numFmtId="0" fontId="31" fillId="8" borderId="36" xfId="0" applyFont="1" applyFill="1" applyBorder="1" applyAlignment="1">
      <alignment horizontal="center"/>
    </xf>
    <xf numFmtId="0" fontId="70" fillId="8" borderId="19" xfId="0" applyFont="1" applyFill="1" applyBorder="1" applyAlignment="1">
      <alignment horizontal="left"/>
    </xf>
    <xf numFmtId="0" fontId="70" fillId="8" borderId="0" xfId="0" applyFont="1" applyFill="1" applyAlignment="1">
      <alignment horizontal="left"/>
    </xf>
    <xf numFmtId="0" fontId="70" fillId="8" borderId="18" xfId="0" applyFont="1" applyFill="1" applyBorder="1" applyAlignment="1">
      <alignment horizontal="left"/>
    </xf>
    <xf numFmtId="2" fontId="58" fillId="8" borderId="18" xfId="0" applyNumberFormat="1" applyFont="1" applyFill="1" applyBorder="1" applyAlignment="1">
      <alignment horizontal="center"/>
    </xf>
    <xf numFmtId="0" fontId="55" fillId="7" borderId="17" xfId="0" applyFont="1" applyFill="1" applyBorder="1" applyAlignment="1" applyProtection="1">
      <alignment horizontal="center"/>
      <protection locked="0"/>
    </xf>
    <xf numFmtId="0" fontId="0" fillId="8" borderId="55" xfId="0" applyFill="1" applyBorder="1"/>
    <xf numFmtId="0" fontId="31" fillId="8" borderId="19" xfId="0" applyFont="1" applyFill="1" applyBorder="1" applyAlignment="1">
      <alignment horizontal="center"/>
    </xf>
    <xf numFmtId="0" fontId="31" fillId="8" borderId="0" xfId="0" applyFont="1" applyFill="1" applyAlignment="1">
      <alignment horizontal="center"/>
    </xf>
    <xf numFmtId="0" fontId="65" fillId="8" borderId="0" xfId="0" applyFont="1" applyFill="1" applyAlignment="1">
      <alignment horizontal="center"/>
    </xf>
    <xf numFmtId="0" fontId="18" fillId="9" borderId="17" xfId="0" applyFont="1" applyFill="1" applyBorder="1" applyAlignment="1">
      <alignment horizontal="center"/>
    </xf>
    <xf numFmtId="0" fontId="74" fillId="8" borderId="0" xfId="0" applyFont="1" applyFill="1" applyAlignment="1">
      <alignment horizontal="left"/>
    </xf>
    <xf numFmtId="0" fontId="75" fillId="0" borderId="0" xfId="0" applyFont="1" applyProtection="1">
      <protection locked="0"/>
    </xf>
    <xf numFmtId="0" fontId="76" fillId="8" borderId="0" xfId="3" applyFont="1" applyFill="1" applyProtection="1"/>
    <xf numFmtId="0" fontId="74" fillId="8" borderId="0" xfId="0" applyFont="1" applyFill="1"/>
    <xf numFmtId="0" fontId="0" fillId="8" borderId="17" xfId="0" applyFill="1" applyBorder="1" applyAlignment="1">
      <alignment horizontal="center"/>
    </xf>
    <xf numFmtId="1" fontId="58" fillId="8" borderId="0" xfId="0" applyNumberFormat="1" applyFont="1" applyFill="1" applyAlignment="1">
      <alignment horizontal="center" vertical="center"/>
    </xf>
    <xf numFmtId="0" fontId="14" fillId="8" borderId="0" xfId="0" applyFont="1" applyFill="1" applyAlignment="1">
      <alignment wrapText="1"/>
    </xf>
    <xf numFmtId="0" fontId="18" fillId="14" borderId="17" xfId="0" applyFont="1" applyFill="1" applyBorder="1" applyAlignment="1">
      <alignment horizontal="center"/>
    </xf>
    <xf numFmtId="0" fontId="14" fillId="8" borderId="6" xfId="0" applyFont="1" applyFill="1" applyBorder="1"/>
    <xf numFmtId="0" fontId="14" fillId="8" borderId="13" xfId="0" applyFont="1" applyFill="1" applyBorder="1"/>
    <xf numFmtId="1" fontId="14" fillId="8" borderId="12" xfId="0" applyNumberFormat="1" applyFont="1" applyFill="1" applyBorder="1"/>
    <xf numFmtId="0" fontId="14" fillId="8" borderId="38" xfId="0" applyFont="1" applyFill="1" applyBorder="1" applyAlignment="1">
      <alignment horizontal="center"/>
    </xf>
    <xf numFmtId="1" fontId="54" fillId="7" borderId="71" xfId="0" applyNumberFormat="1" applyFont="1" applyFill="1" applyBorder="1" applyAlignment="1" applyProtection="1">
      <alignment horizontal="center"/>
      <protection locked="0"/>
    </xf>
    <xf numFmtId="0" fontId="14" fillId="8" borderId="4" xfId="0" applyFont="1" applyFill="1" applyBorder="1" applyAlignment="1">
      <alignment horizontal="center"/>
    </xf>
    <xf numFmtId="0" fontId="14" fillId="8" borderId="5" xfId="0" applyFont="1" applyFill="1" applyBorder="1"/>
    <xf numFmtId="0" fontId="31" fillId="8" borderId="4" xfId="0" applyFont="1" applyFill="1" applyBorder="1" applyAlignment="1">
      <alignment horizontal="center"/>
    </xf>
    <xf numFmtId="0" fontId="76" fillId="8" borderId="0" xfId="3" applyFont="1" applyFill="1" applyAlignment="1" applyProtection="1">
      <alignment horizontal="left"/>
    </xf>
    <xf numFmtId="0" fontId="6" fillId="8" borderId="0" xfId="0" applyFont="1" applyFill="1" applyAlignment="1">
      <alignment horizontal="left"/>
    </xf>
    <xf numFmtId="0" fontId="13" fillId="8" borderId="0" xfId="0" applyFont="1" applyFill="1" applyAlignment="1">
      <alignment horizontal="center" vertical="center"/>
    </xf>
    <xf numFmtId="2" fontId="58" fillId="8" borderId="37" xfId="0" applyNumberFormat="1" applyFont="1" applyFill="1" applyBorder="1" applyAlignment="1">
      <alignment horizontal="center"/>
    </xf>
    <xf numFmtId="0" fontId="6" fillId="8" borderId="31" xfId="0" applyFont="1" applyFill="1" applyBorder="1" applyAlignment="1">
      <alignment horizontal="center"/>
    </xf>
    <xf numFmtId="2" fontId="58" fillId="8" borderId="17" xfId="0" applyNumberFormat="1" applyFont="1" applyFill="1" applyBorder="1" applyAlignment="1">
      <alignment horizontal="center"/>
    </xf>
    <xf numFmtId="0" fontId="42" fillId="8" borderId="0" xfId="3" applyFill="1" applyAlignment="1" applyProtection="1"/>
    <xf numFmtId="0" fontId="18" fillId="15" borderId="17" xfId="0" applyFont="1" applyFill="1" applyBorder="1" applyAlignment="1">
      <alignment horizontal="center"/>
    </xf>
    <xf numFmtId="0" fontId="52" fillId="0" borderId="0" xfId="3" applyFont="1" applyFill="1" applyProtection="1"/>
    <xf numFmtId="0" fontId="77" fillId="0" borderId="0" xfId="0" applyFont="1" applyAlignment="1">
      <alignment horizontal="left"/>
    </xf>
    <xf numFmtId="0" fontId="2" fillId="0" borderId="0" xfId="0" applyFont="1" applyAlignment="1">
      <alignment wrapText="1"/>
    </xf>
    <xf numFmtId="0" fontId="13" fillId="0" borderId="0" xfId="0" applyFont="1" applyProtection="1">
      <protection locked="0"/>
    </xf>
    <xf numFmtId="0" fontId="3" fillId="0" borderId="8" xfId="0" applyFont="1" applyBorder="1" applyAlignment="1" applyProtection="1">
      <alignment horizontal="center" wrapText="1"/>
      <protection locked="0"/>
    </xf>
    <xf numFmtId="0" fontId="23" fillId="7" borderId="17" xfId="0" applyFont="1" applyFill="1" applyBorder="1" applyAlignment="1" applyProtection="1">
      <alignment horizontal="center"/>
      <protection locked="0"/>
    </xf>
    <xf numFmtId="1" fontId="3" fillId="0" borderId="0" xfId="0" applyNumberFormat="1" applyFont="1" applyAlignment="1">
      <alignment horizontal="center"/>
    </xf>
    <xf numFmtId="0" fontId="18" fillId="10" borderId="17" xfId="0" applyFont="1" applyFill="1" applyBorder="1" applyAlignment="1" applyProtection="1">
      <alignment horizontal="center"/>
      <protection locked="0"/>
    </xf>
    <xf numFmtId="0" fontId="18" fillId="10" borderId="33" xfId="0" applyFont="1" applyFill="1" applyBorder="1" applyAlignment="1" applyProtection="1">
      <alignment horizontal="center"/>
      <protection locked="0"/>
    </xf>
    <xf numFmtId="1" fontId="58" fillId="0" borderId="17" xfId="0" applyNumberFormat="1" applyFont="1" applyBorder="1" applyAlignment="1" applyProtection="1">
      <alignment horizontal="center"/>
      <protection locked="0"/>
    </xf>
    <xf numFmtId="0" fontId="3" fillId="0" borderId="4" xfId="0" applyFont="1" applyBorder="1" applyAlignment="1" applyProtection="1">
      <alignment wrapText="1"/>
      <protection locked="0"/>
    </xf>
    <xf numFmtId="1" fontId="58" fillId="0" borderId="18" xfId="0" applyNumberFormat="1" applyFont="1" applyBorder="1" applyAlignment="1" applyProtection="1">
      <alignment horizontal="center"/>
      <protection locked="0"/>
    </xf>
    <xf numFmtId="1" fontId="58" fillId="0" borderId="0" xfId="0" applyNumberFormat="1" applyFont="1" applyAlignment="1" applyProtection="1">
      <alignment horizontal="center"/>
      <protection locked="0"/>
    </xf>
    <xf numFmtId="1" fontId="58" fillId="0" borderId="19" xfId="0" applyNumberFormat="1" applyFont="1" applyBorder="1" applyAlignment="1" applyProtection="1">
      <alignment horizontal="center"/>
      <protection locked="0"/>
    </xf>
    <xf numFmtId="2" fontId="58" fillId="0" borderId="0" xfId="0" applyNumberFormat="1" applyFont="1" applyAlignment="1" applyProtection="1">
      <alignment horizontal="center"/>
      <protection locked="0"/>
    </xf>
    <xf numFmtId="0" fontId="53" fillId="6" borderId="49" xfId="0" applyFont="1" applyFill="1" applyBorder="1" applyAlignment="1">
      <alignment horizontal="center"/>
    </xf>
    <xf numFmtId="0" fontId="6" fillId="6" borderId="44" xfId="0" applyFont="1" applyFill="1" applyBorder="1" applyAlignment="1">
      <alignment horizontal="center"/>
    </xf>
    <xf numFmtId="0" fontId="14" fillId="0" borderId="49" xfId="0" applyFont="1" applyBorder="1"/>
    <xf numFmtId="0" fontId="57" fillId="0" borderId="46" xfId="0" applyFont="1" applyBorder="1" applyAlignment="1">
      <alignment horizontal="left" indent="2"/>
    </xf>
    <xf numFmtId="0" fontId="14" fillId="0" borderId="46" xfId="0" applyFont="1" applyBorder="1" applyAlignment="1">
      <alignment horizontal="left" indent="2"/>
    </xf>
    <xf numFmtId="0" fontId="14" fillId="0" borderId="44" xfId="0" applyFont="1" applyBorder="1"/>
    <xf numFmtId="0" fontId="57" fillId="0" borderId="47" xfId="0" applyFont="1" applyBorder="1" applyAlignment="1">
      <alignment horizontal="left"/>
    </xf>
    <xf numFmtId="0" fontId="57" fillId="0" borderId="44" xfId="0" applyFont="1" applyBorder="1" applyAlignment="1">
      <alignment horizontal="left"/>
    </xf>
    <xf numFmtId="0" fontId="58" fillId="0" borderId="0" xfId="0" applyFont="1" applyAlignment="1" applyProtection="1">
      <alignment horizontal="center"/>
      <protection locked="0"/>
    </xf>
    <xf numFmtId="1" fontId="79" fillId="0" borderId="17" xfId="0" applyNumberFormat="1" applyFont="1" applyBorder="1" applyAlignment="1">
      <alignment horizontal="center"/>
    </xf>
    <xf numFmtId="0" fontId="14" fillId="8" borderId="1" xfId="0" applyFont="1" applyFill="1" applyBorder="1"/>
    <xf numFmtId="0" fontId="31" fillId="8" borderId="2" xfId="0" applyFont="1" applyFill="1" applyBorder="1" applyAlignment="1">
      <alignment horizontal="center"/>
    </xf>
    <xf numFmtId="0" fontId="14" fillId="8" borderId="3" xfId="0" applyFont="1" applyFill="1" applyBorder="1"/>
    <xf numFmtId="9" fontId="54" fillId="7" borderId="17" xfId="2" applyFont="1" applyFill="1" applyBorder="1" applyAlignment="1" applyProtection="1">
      <alignment horizontal="center"/>
      <protection locked="0"/>
    </xf>
    <xf numFmtId="0" fontId="14" fillId="8" borderId="12" xfId="0" applyFont="1" applyFill="1" applyBorder="1" applyAlignment="1">
      <alignment horizontal="center"/>
    </xf>
    <xf numFmtId="9" fontId="54" fillId="7" borderId="74" xfId="2" applyFont="1" applyFill="1" applyBorder="1" applyAlignment="1" applyProtection="1">
      <alignment horizontal="center"/>
      <protection locked="0"/>
    </xf>
    <xf numFmtId="0" fontId="8" fillId="8" borderId="2" xfId="0" applyFont="1" applyFill="1" applyBorder="1" applyAlignment="1">
      <alignment vertical="center"/>
    </xf>
    <xf numFmtId="0" fontId="8" fillId="8" borderId="0" xfId="0" applyFont="1" applyFill="1" applyAlignment="1">
      <alignment vertical="center"/>
    </xf>
    <xf numFmtId="0" fontId="8" fillId="8" borderId="13" xfId="0" applyFont="1" applyFill="1" applyBorder="1" applyAlignment="1">
      <alignment vertical="center"/>
    </xf>
    <xf numFmtId="0" fontId="21" fillId="12" borderId="17" xfId="0" applyFont="1" applyFill="1" applyBorder="1" applyAlignment="1">
      <alignment horizontal="center"/>
    </xf>
    <xf numFmtId="0" fontId="21" fillId="12" borderId="33" xfId="0" applyFont="1" applyFill="1" applyBorder="1" applyAlignment="1">
      <alignment horizontal="center"/>
    </xf>
    <xf numFmtId="0" fontId="21" fillId="12" borderId="22" xfId="0" applyFont="1" applyFill="1" applyBorder="1" applyAlignment="1">
      <alignment horizontal="center"/>
    </xf>
    <xf numFmtId="0" fontId="21" fillId="12" borderId="23" xfId="0" applyFont="1" applyFill="1" applyBorder="1" applyAlignment="1">
      <alignment horizontal="center"/>
    </xf>
    <xf numFmtId="0" fontId="3" fillId="8" borderId="0" xfId="0" applyFont="1" applyFill="1" applyAlignment="1">
      <alignment horizontal="left" vertical="center"/>
    </xf>
    <xf numFmtId="0" fontId="3" fillId="8" borderId="5" xfId="0" applyFont="1" applyFill="1" applyBorder="1" applyAlignment="1">
      <alignment horizontal="left" vertical="center"/>
    </xf>
    <xf numFmtId="0" fontId="3" fillId="8" borderId="16" xfId="0" applyFont="1" applyFill="1" applyBorder="1" applyAlignment="1">
      <alignment horizontal="left" vertical="center"/>
    </xf>
    <xf numFmtId="0" fontId="3" fillId="8" borderId="24" xfId="0" applyFont="1" applyFill="1" applyBorder="1" applyAlignment="1">
      <alignment horizontal="left" vertical="center"/>
    </xf>
    <xf numFmtId="0" fontId="3" fillId="8" borderId="2" xfId="0" applyFont="1" applyFill="1" applyBorder="1" applyAlignment="1">
      <alignment horizontal="left" vertical="center" wrapText="1"/>
    </xf>
    <xf numFmtId="0" fontId="3" fillId="8" borderId="3" xfId="0" applyFont="1" applyFill="1" applyBorder="1" applyAlignment="1">
      <alignment horizontal="left" vertical="center" wrapText="1"/>
    </xf>
    <xf numFmtId="0" fontId="3" fillId="8" borderId="13" xfId="0" applyFont="1" applyFill="1" applyBorder="1" applyAlignment="1">
      <alignment horizontal="left" vertical="center" wrapText="1"/>
    </xf>
    <xf numFmtId="0" fontId="3" fillId="8" borderId="6" xfId="0" applyFont="1" applyFill="1" applyBorder="1" applyAlignment="1">
      <alignment horizontal="left" vertical="center" wrapText="1"/>
    </xf>
    <xf numFmtId="0" fontId="3" fillId="8" borderId="2" xfId="0" applyFont="1" applyFill="1" applyBorder="1" applyAlignment="1">
      <alignment horizontal="left" vertical="center"/>
    </xf>
    <xf numFmtId="0" fontId="3" fillId="8" borderId="3" xfId="0" applyFont="1" applyFill="1" applyBorder="1" applyAlignment="1">
      <alignment horizontal="left" vertical="center"/>
    </xf>
    <xf numFmtId="0" fontId="3" fillId="8" borderId="13" xfId="0" applyFont="1" applyFill="1" applyBorder="1" applyAlignment="1">
      <alignment horizontal="left" vertical="center"/>
    </xf>
    <xf numFmtId="0" fontId="3" fillId="8" borderId="6" xfId="0" applyFont="1" applyFill="1" applyBorder="1" applyAlignment="1">
      <alignment horizontal="left" vertical="center"/>
    </xf>
    <xf numFmtId="0" fontId="9" fillId="8" borderId="13" xfId="0" applyFont="1" applyFill="1" applyBorder="1" applyAlignment="1">
      <alignment horizontal="left" vertical="center" indent="3"/>
    </xf>
    <xf numFmtId="0" fontId="9" fillId="8" borderId="6" xfId="0" applyFont="1" applyFill="1" applyBorder="1" applyAlignment="1">
      <alignment horizontal="left" vertical="center" indent="3"/>
    </xf>
    <xf numFmtId="0" fontId="8" fillId="8" borderId="1" xfId="0" applyFont="1" applyFill="1" applyBorder="1" applyAlignment="1">
      <alignment horizontal="right" vertical="top"/>
    </xf>
    <xf numFmtId="0" fontId="8" fillId="8" borderId="4" xfId="0" applyFont="1" applyFill="1" applyBorder="1" applyAlignment="1">
      <alignment horizontal="right" vertical="top"/>
    </xf>
    <xf numFmtId="0" fontId="8" fillId="8" borderId="12" xfId="0" applyFont="1" applyFill="1" applyBorder="1" applyAlignment="1">
      <alignment horizontal="right" vertical="top"/>
    </xf>
    <xf numFmtId="0" fontId="8" fillId="8" borderId="13" xfId="0" applyFont="1" applyFill="1" applyBorder="1" applyAlignment="1">
      <alignment horizontal="center" vertical="center"/>
    </xf>
    <xf numFmtId="0" fontId="8" fillId="8" borderId="6" xfId="0" applyFont="1" applyFill="1" applyBorder="1" applyAlignment="1">
      <alignment horizontal="center" vertical="center"/>
    </xf>
    <xf numFmtId="0" fontId="3" fillId="8" borderId="0" xfId="0" applyFont="1" applyFill="1" applyAlignment="1">
      <alignment horizontal="left" vertical="center" indent="3"/>
    </xf>
    <xf numFmtId="0" fontId="3" fillId="8" borderId="5" xfId="0" applyFont="1" applyFill="1" applyBorder="1" applyAlignment="1">
      <alignment horizontal="left" vertical="center" indent="3"/>
    </xf>
    <xf numFmtId="0" fontId="17" fillId="12" borderId="1" xfId="0" applyFont="1" applyFill="1" applyBorder="1" applyAlignment="1">
      <alignment horizontal="center"/>
    </xf>
    <xf numFmtId="0" fontId="17" fillId="12" borderId="2" xfId="0" applyFont="1" applyFill="1" applyBorder="1" applyAlignment="1">
      <alignment horizontal="center"/>
    </xf>
    <xf numFmtId="0" fontId="17" fillId="12" borderId="3" xfId="0" applyFont="1" applyFill="1" applyBorder="1" applyAlignment="1">
      <alignment horizontal="center"/>
    </xf>
    <xf numFmtId="0" fontId="17" fillId="12" borderId="4" xfId="0" applyFont="1" applyFill="1" applyBorder="1" applyAlignment="1">
      <alignment horizontal="center"/>
    </xf>
    <xf numFmtId="0" fontId="17" fillId="12" borderId="0" xfId="0" applyFont="1" applyFill="1" applyAlignment="1">
      <alignment horizontal="center"/>
    </xf>
    <xf numFmtId="0" fontId="17" fillId="12" borderId="5" xfId="0" applyFont="1" applyFill="1" applyBorder="1" applyAlignment="1">
      <alignment horizontal="center"/>
    </xf>
    <xf numFmtId="0" fontId="21" fillId="12" borderId="4" xfId="0" applyFont="1" applyFill="1" applyBorder="1" applyAlignment="1">
      <alignment horizontal="center" vertical="center"/>
    </xf>
    <xf numFmtId="0" fontId="21" fillId="12" borderId="0" xfId="0" applyFont="1" applyFill="1" applyAlignment="1">
      <alignment horizontal="center" vertical="center"/>
    </xf>
    <xf numFmtId="0" fontId="21" fillId="12" borderId="5" xfId="0" applyFont="1" applyFill="1" applyBorder="1" applyAlignment="1">
      <alignment horizontal="center" vertical="center"/>
    </xf>
    <xf numFmtId="0" fontId="3" fillId="8" borderId="0" xfId="0" applyFont="1" applyFill="1" applyAlignment="1">
      <alignment horizontal="left" vertical="center" wrapText="1" indent="3"/>
    </xf>
    <xf numFmtId="0" fontId="3" fillId="8" borderId="5" xfId="0" applyFont="1" applyFill="1" applyBorder="1" applyAlignment="1">
      <alignment horizontal="left" vertical="center" wrapText="1" indent="3"/>
    </xf>
    <xf numFmtId="0" fontId="8" fillId="8" borderId="0" xfId="0" applyFont="1" applyFill="1" applyAlignment="1">
      <alignment horizontal="center" vertical="center"/>
    </xf>
    <xf numFmtId="0" fontId="8" fillId="8" borderId="5" xfId="0" applyFont="1" applyFill="1" applyBorder="1" applyAlignment="1">
      <alignment horizontal="center" vertical="center"/>
    </xf>
    <xf numFmtId="0" fontId="3" fillId="8" borderId="1" xfId="0" applyFont="1" applyFill="1" applyBorder="1" applyAlignment="1">
      <alignment horizontal="left" vertical="center" wrapText="1"/>
    </xf>
    <xf numFmtId="0" fontId="25" fillId="8" borderId="4" xfId="0" applyFont="1" applyFill="1" applyBorder="1" applyAlignment="1">
      <alignment horizontal="left" vertical="center" wrapText="1" indent="3"/>
    </xf>
    <xf numFmtId="0" fontId="25" fillId="8" borderId="0" xfId="0" applyFont="1" applyFill="1" applyAlignment="1">
      <alignment horizontal="left" vertical="center" wrapText="1" indent="3"/>
    </xf>
    <xf numFmtId="0" fontId="25" fillId="8" borderId="5" xfId="0" applyFont="1" applyFill="1" applyBorder="1" applyAlignment="1">
      <alignment horizontal="left" vertical="center" wrapText="1" indent="3"/>
    </xf>
    <xf numFmtId="0" fontId="25" fillId="8" borderId="12" xfId="0" applyFont="1" applyFill="1" applyBorder="1" applyAlignment="1">
      <alignment horizontal="left" vertical="center" wrapText="1" indent="3"/>
    </xf>
    <xf numFmtId="0" fontId="25" fillId="8" borderId="13" xfId="0" applyFont="1" applyFill="1" applyBorder="1" applyAlignment="1">
      <alignment horizontal="left" vertical="center" wrapText="1" indent="3"/>
    </xf>
    <xf numFmtId="0" fontId="25" fillId="8" borderId="6" xfId="0" applyFont="1" applyFill="1" applyBorder="1" applyAlignment="1">
      <alignment horizontal="left" vertical="center" wrapText="1" indent="3"/>
    </xf>
    <xf numFmtId="0" fontId="3" fillId="8" borderId="4" xfId="0" applyFont="1" applyFill="1" applyBorder="1" applyAlignment="1">
      <alignment horizontal="left" vertical="center" wrapText="1"/>
    </xf>
    <xf numFmtId="0" fontId="3" fillId="8" borderId="0" xfId="0" applyFont="1" applyFill="1" applyAlignment="1">
      <alignment horizontal="left" vertical="center" wrapText="1"/>
    </xf>
    <xf numFmtId="0" fontId="3" fillId="8" borderId="5" xfId="0" applyFont="1" applyFill="1" applyBorder="1" applyAlignment="1">
      <alignment horizontal="left" vertical="center" wrapText="1"/>
    </xf>
    <xf numFmtId="0" fontId="58" fillId="8" borderId="1" xfId="0" applyFont="1" applyFill="1" applyBorder="1" applyAlignment="1">
      <alignment horizontal="center" vertical="center" wrapText="1"/>
    </xf>
    <xf numFmtId="0" fontId="58" fillId="8" borderId="4" xfId="0" applyFont="1" applyFill="1" applyBorder="1" applyAlignment="1">
      <alignment horizontal="center" vertical="center" wrapText="1"/>
    </xf>
    <xf numFmtId="0" fontId="58" fillId="8" borderId="12" xfId="0" applyFont="1" applyFill="1" applyBorder="1" applyAlignment="1">
      <alignment horizontal="center" vertical="center" wrapText="1"/>
    </xf>
    <xf numFmtId="0" fontId="7" fillId="6" borderId="35" xfId="0" applyFont="1" applyFill="1" applyBorder="1" applyAlignment="1">
      <alignment horizontal="center"/>
    </xf>
    <xf numFmtId="0" fontId="7" fillId="6" borderId="16" xfId="0" applyFont="1" applyFill="1" applyBorder="1" applyAlignment="1">
      <alignment horizontal="center"/>
    </xf>
    <xf numFmtId="0" fontId="7" fillId="6" borderId="24" xfId="0" applyFont="1" applyFill="1" applyBorder="1" applyAlignment="1">
      <alignment horizontal="center"/>
    </xf>
    <xf numFmtId="0" fontId="18" fillId="12" borderId="1" xfId="0" applyFont="1" applyFill="1" applyBorder="1" applyAlignment="1" applyProtection="1">
      <alignment horizontal="center"/>
      <protection locked="0"/>
    </xf>
    <xf numFmtId="0" fontId="18" fillId="12" borderId="2" xfId="0" applyFont="1" applyFill="1" applyBorder="1" applyAlignment="1" applyProtection="1">
      <alignment horizontal="center"/>
      <protection locked="0"/>
    </xf>
    <xf numFmtId="0" fontId="18" fillId="12" borderId="3" xfId="0" applyFont="1" applyFill="1" applyBorder="1" applyAlignment="1" applyProtection="1">
      <alignment horizontal="center"/>
      <protection locked="0"/>
    </xf>
    <xf numFmtId="0" fontId="18" fillId="4" borderId="1" xfId="0" applyFont="1" applyFill="1" applyBorder="1" applyAlignment="1" applyProtection="1">
      <alignment horizontal="center"/>
      <protection locked="0"/>
    </xf>
    <xf numFmtId="0" fontId="18" fillId="4" borderId="2" xfId="0" applyFont="1" applyFill="1" applyBorder="1" applyAlignment="1" applyProtection="1">
      <alignment horizontal="center"/>
      <protection locked="0"/>
    </xf>
    <xf numFmtId="0" fontId="18" fillId="4" borderId="3" xfId="0" applyFont="1" applyFill="1" applyBorder="1" applyAlignment="1" applyProtection="1">
      <alignment horizontal="center"/>
      <protection locked="0"/>
    </xf>
    <xf numFmtId="0" fontId="21" fillId="12" borderId="12" xfId="0" applyFont="1" applyFill="1" applyBorder="1" applyAlignment="1">
      <alignment horizontal="center"/>
    </xf>
    <xf numFmtId="0" fontId="21" fillId="12" borderId="13" xfId="0" applyFont="1" applyFill="1" applyBorder="1" applyAlignment="1">
      <alignment horizontal="center"/>
    </xf>
    <xf numFmtId="0" fontId="21" fillId="12" borderId="6" xfId="0" applyFont="1" applyFill="1" applyBorder="1" applyAlignment="1">
      <alignment horizontal="center"/>
    </xf>
    <xf numFmtId="0" fontId="14" fillId="0" borderId="49" xfId="0" applyFont="1" applyBorder="1" applyAlignment="1">
      <alignment horizontal="left"/>
    </xf>
    <xf numFmtId="0" fontId="14" fillId="0" borderId="48" xfId="0" applyFont="1" applyBorder="1" applyAlignment="1">
      <alignment horizontal="left"/>
    </xf>
    <xf numFmtId="0" fontId="14" fillId="0" borderId="19" xfId="0" applyFont="1" applyBorder="1" applyAlignment="1">
      <alignment horizontal="center"/>
    </xf>
    <xf numFmtId="0" fontId="9" fillId="7" borderId="59" xfId="0" applyFont="1" applyFill="1" applyBorder="1" applyAlignment="1" applyProtection="1">
      <alignment horizontal="center"/>
      <protection locked="0"/>
    </xf>
    <xf numFmtId="0" fontId="9" fillId="7" borderId="57" xfId="0" applyFont="1" applyFill="1" applyBorder="1" applyAlignment="1" applyProtection="1">
      <alignment horizontal="center"/>
      <protection locked="0"/>
    </xf>
    <xf numFmtId="0" fontId="9" fillId="7" borderId="60" xfId="0" applyFont="1" applyFill="1" applyBorder="1" applyAlignment="1" applyProtection="1">
      <alignment horizontal="center"/>
      <protection locked="0"/>
    </xf>
    <xf numFmtId="0" fontId="9" fillId="7" borderId="58" xfId="0" applyFont="1" applyFill="1" applyBorder="1" applyAlignment="1" applyProtection="1">
      <alignment horizontal="center"/>
      <protection locked="0"/>
    </xf>
    <xf numFmtId="0" fontId="52" fillId="0" borderId="0" xfId="3" applyFont="1" applyBorder="1" applyAlignment="1" applyProtection="1">
      <alignment horizontal="left"/>
      <protection locked="0"/>
    </xf>
    <xf numFmtId="0" fontId="52" fillId="0" borderId="5" xfId="3" applyFont="1" applyBorder="1" applyAlignment="1" applyProtection="1">
      <alignment horizontal="left"/>
      <protection locked="0"/>
    </xf>
    <xf numFmtId="9" fontId="18" fillId="2" borderId="0" xfId="0" applyNumberFormat="1" applyFont="1" applyFill="1" applyAlignment="1">
      <alignment horizontal="center"/>
    </xf>
    <xf numFmtId="9" fontId="18" fillId="2" borderId="19" xfId="0" applyNumberFormat="1" applyFont="1" applyFill="1" applyBorder="1" applyAlignment="1">
      <alignment horizontal="center"/>
    </xf>
    <xf numFmtId="9" fontId="58" fillId="3" borderId="0" xfId="0" applyNumberFormat="1" applyFont="1" applyFill="1" applyAlignment="1">
      <alignment horizontal="center"/>
    </xf>
    <xf numFmtId="9" fontId="58" fillId="3" borderId="19" xfId="0" applyNumberFormat="1" applyFont="1" applyFill="1" applyBorder="1" applyAlignment="1">
      <alignment horizontal="center"/>
    </xf>
    <xf numFmtId="9" fontId="18" fillId="4" borderId="0" xfId="0" applyNumberFormat="1" applyFont="1" applyFill="1" applyAlignment="1">
      <alignment horizontal="center"/>
    </xf>
    <xf numFmtId="9" fontId="18" fillId="4" borderId="19" xfId="0" applyNumberFormat="1" applyFont="1" applyFill="1" applyBorder="1" applyAlignment="1">
      <alignment horizontal="center"/>
    </xf>
    <xf numFmtId="9" fontId="18" fillId="2" borderId="18" xfId="0" applyNumberFormat="1" applyFont="1" applyFill="1" applyBorder="1" applyAlignment="1">
      <alignment horizontal="center"/>
    </xf>
    <xf numFmtId="9" fontId="58" fillId="3" borderId="5" xfId="0" applyNumberFormat="1" applyFont="1" applyFill="1" applyBorder="1" applyAlignment="1">
      <alignment horizontal="center"/>
    </xf>
    <xf numFmtId="9" fontId="18" fillId="4" borderId="5" xfId="0" applyNumberFormat="1" applyFont="1" applyFill="1" applyBorder="1" applyAlignment="1">
      <alignment horizontal="center"/>
    </xf>
    <xf numFmtId="9" fontId="18" fillId="2" borderId="5" xfId="0" applyNumberFormat="1" applyFont="1" applyFill="1" applyBorder="1" applyAlignment="1">
      <alignment horizontal="center"/>
    </xf>
    <xf numFmtId="0" fontId="6" fillId="0" borderId="0" xfId="0" applyFont="1" applyAlignment="1">
      <alignment horizontal="center"/>
    </xf>
    <xf numFmtId="0" fontId="6" fillId="0" borderId="19" xfId="0" applyFont="1" applyBorder="1" applyAlignment="1">
      <alignment horizontal="center"/>
    </xf>
    <xf numFmtId="0" fontId="6" fillId="0" borderId="5" xfId="0" applyFont="1" applyBorder="1" applyAlignment="1">
      <alignment horizontal="center"/>
    </xf>
    <xf numFmtId="0" fontId="3" fillId="0" borderId="4" xfId="0" applyFont="1" applyBorder="1" applyAlignment="1" applyProtection="1">
      <alignment horizontal="left" wrapText="1"/>
      <protection locked="0"/>
    </xf>
    <xf numFmtId="0" fontId="0" fillId="0" borderId="73" xfId="0" applyBorder="1" applyAlignment="1">
      <alignment horizontal="left" vertical="top" wrapText="1"/>
    </xf>
    <xf numFmtId="0" fontId="0" fillId="0" borderId="4" xfId="0" applyBorder="1" applyAlignment="1">
      <alignment horizontal="left" vertical="top" wrapText="1"/>
    </xf>
    <xf numFmtId="0" fontId="17" fillId="12" borderId="4" xfId="0" applyFont="1" applyFill="1" applyBorder="1" applyAlignment="1">
      <alignment horizontal="center" vertical="center"/>
    </xf>
    <xf numFmtId="0" fontId="17" fillId="12" borderId="0" xfId="0" applyFont="1" applyFill="1" applyAlignment="1">
      <alignment horizontal="center" vertical="center"/>
    </xf>
    <xf numFmtId="0" fontId="9" fillId="7" borderId="35" xfId="0" applyFont="1" applyFill="1" applyBorder="1" applyAlignment="1">
      <alignment horizontal="center"/>
    </xf>
    <xf numFmtId="0" fontId="9" fillId="7" borderId="16" xfId="0" applyFont="1" applyFill="1" applyBorder="1" applyAlignment="1">
      <alignment horizontal="center"/>
    </xf>
    <xf numFmtId="0" fontId="9" fillId="7" borderId="24" xfId="0" applyFont="1" applyFill="1" applyBorder="1" applyAlignment="1">
      <alignment horizontal="center"/>
    </xf>
    <xf numFmtId="0" fontId="40" fillId="0" borderId="0" xfId="0" applyFont="1" applyAlignment="1" applyProtection="1">
      <alignment horizontal="center"/>
      <protection locked="0"/>
    </xf>
    <xf numFmtId="0" fontId="40" fillId="0" borderId="5" xfId="0" applyFont="1" applyBorder="1" applyAlignment="1" applyProtection="1">
      <alignment horizontal="center"/>
      <protection locked="0"/>
    </xf>
    <xf numFmtId="0" fontId="18" fillId="4" borderId="0" xfId="0" applyFont="1" applyFill="1" applyAlignment="1">
      <alignment horizontal="center"/>
    </xf>
    <xf numFmtId="0" fontId="19" fillId="4" borderId="0" xfId="0" applyFont="1" applyFill="1" applyAlignment="1">
      <alignment horizontal="center"/>
    </xf>
    <xf numFmtId="0" fontId="18" fillId="12" borderId="0" xfId="0" applyFont="1" applyFill="1" applyAlignment="1">
      <alignment horizontal="center"/>
    </xf>
    <xf numFmtId="0" fontId="18" fillId="12" borderId="0" xfId="0" applyFont="1" applyFill="1" applyAlignment="1">
      <alignment horizontal="center" vertical="center"/>
    </xf>
    <xf numFmtId="0" fontId="52" fillId="0" borderId="0" xfId="3" applyFont="1" applyAlignment="1" applyProtection="1">
      <alignment horizontal="left"/>
    </xf>
    <xf numFmtId="0" fontId="52" fillId="0" borderId="0" xfId="3" applyFont="1" applyAlignment="1">
      <alignment horizontal="left"/>
    </xf>
    <xf numFmtId="0" fontId="18" fillId="12" borderId="20" xfId="0" applyFont="1" applyFill="1" applyBorder="1" applyAlignment="1">
      <alignment horizontal="center"/>
    </xf>
    <xf numFmtId="0" fontId="18" fillId="12" borderId="8" xfId="0" applyFont="1" applyFill="1" applyBorder="1" applyAlignment="1">
      <alignment horizontal="center"/>
    </xf>
    <xf numFmtId="0" fontId="18" fillId="12" borderId="21" xfId="0" applyFont="1" applyFill="1" applyBorder="1" applyAlignment="1">
      <alignment horizontal="center"/>
    </xf>
    <xf numFmtId="0" fontId="14" fillId="0" borderId="42" xfId="0" applyFont="1" applyBorder="1" applyAlignment="1">
      <alignment horizontal="center"/>
    </xf>
    <xf numFmtId="0" fontId="25" fillId="8" borderId="36" xfId="0" applyFont="1" applyFill="1" applyBorder="1" applyAlignment="1">
      <alignment horizontal="center"/>
    </xf>
    <xf numFmtId="0" fontId="25" fillId="8" borderId="10" xfId="0" applyFont="1" applyFill="1" applyBorder="1" applyAlignment="1">
      <alignment horizontal="center"/>
    </xf>
    <xf numFmtId="0" fontId="25" fillId="8" borderId="37" xfId="0" applyFont="1" applyFill="1" applyBorder="1" applyAlignment="1">
      <alignment horizontal="center"/>
    </xf>
    <xf numFmtId="49" fontId="54" fillId="7" borderId="36" xfId="0" applyNumberFormat="1" applyFont="1" applyFill="1" applyBorder="1" applyAlignment="1" applyProtection="1">
      <alignment horizontal="center"/>
      <protection locked="0"/>
    </xf>
    <xf numFmtId="49" fontId="54" fillId="7" borderId="10" xfId="0" applyNumberFormat="1" applyFont="1" applyFill="1" applyBorder="1" applyAlignment="1" applyProtection="1">
      <alignment horizontal="center"/>
      <protection locked="0"/>
    </xf>
    <xf numFmtId="49" fontId="54" fillId="7" borderId="37" xfId="0" applyNumberFormat="1" applyFont="1" applyFill="1" applyBorder="1" applyAlignment="1" applyProtection="1">
      <alignment horizontal="center"/>
      <protection locked="0"/>
    </xf>
    <xf numFmtId="0" fontId="6" fillId="8" borderId="0" xfId="0" applyFont="1" applyFill="1" applyAlignment="1" applyProtection="1">
      <alignment horizontal="left"/>
      <protection locked="0"/>
    </xf>
    <xf numFmtId="0" fontId="67" fillId="8" borderId="36" xfId="0" applyFont="1" applyFill="1" applyBorder="1" applyAlignment="1">
      <alignment horizontal="center"/>
    </xf>
    <xf numFmtId="0" fontId="67" fillId="8" borderId="10" xfId="0" applyFont="1" applyFill="1" applyBorder="1" applyAlignment="1">
      <alignment horizontal="center"/>
    </xf>
    <xf numFmtId="0" fontId="67" fillId="8" borderId="37" xfId="0" applyFont="1" applyFill="1" applyBorder="1" applyAlignment="1">
      <alignment horizontal="center"/>
    </xf>
    <xf numFmtId="0" fontId="6" fillId="8" borderId="19" xfId="0" applyFont="1" applyFill="1" applyBorder="1" applyAlignment="1">
      <alignment horizontal="center" wrapText="1"/>
    </xf>
    <xf numFmtId="0" fontId="14" fillId="8" borderId="42" xfId="0" applyFont="1" applyFill="1" applyBorder="1" applyAlignment="1">
      <alignment horizontal="center"/>
    </xf>
    <xf numFmtId="0" fontId="14" fillId="8" borderId="19" xfId="0" applyFont="1" applyFill="1" applyBorder="1" applyAlignment="1">
      <alignment horizontal="center"/>
    </xf>
    <xf numFmtId="0" fontId="14" fillId="8" borderId="21" xfId="0" applyFont="1" applyFill="1" applyBorder="1" applyAlignment="1">
      <alignment horizontal="center"/>
    </xf>
    <xf numFmtId="0" fontId="31" fillId="8" borderId="18" xfId="0" applyFont="1" applyFill="1" applyBorder="1" applyAlignment="1">
      <alignment horizontal="center"/>
    </xf>
    <xf numFmtId="0" fontId="13" fillId="8" borderId="19" xfId="0" applyFont="1" applyFill="1" applyBorder="1" applyAlignment="1">
      <alignment horizontal="center"/>
    </xf>
    <xf numFmtId="0" fontId="54" fillId="7" borderId="36" xfId="0" applyFont="1" applyFill="1" applyBorder="1" applyAlignment="1" applyProtection="1">
      <alignment horizontal="center"/>
      <protection locked="0"/>
    </xf>
    <xf numFmtId="0" fontId="54" fillId="7" borderId="37" xfId="0" applyFont="1" applyFill="1" applyBorder="1" applyAlignment="1" applyProtection="1">
      <alignment horizontal="center"/>
      <protection locked="0"/>
    </xf>
    <xf numFmtId="0" fontId="18" fillId="13" borderId="20" xfId="0" applyFont="1" applyFill="1" applyBorder="1" applyAlignment="1">
      <alignment horizontal="center"/>
    </xf>
    <xf numFmtId="0" fontId="18" fillId="13" borderId="8" xfId="0" applyFont="1" applyFill="1" applyBorder="1" applyAlignment="1">
      <alignment horizontal="center"/>
    </xf>
    <xf numFmtId="0" fontId="18" fillId="13" borderId="21" xfId="0" applyFont="1" applyFill="1" applyBorder="1" applyAlignment="1">
      <alignment horizontal="center"/>
    </xf>
    <xf numFmtId="0" fontId="65" fillId="8" borderId="0" xfId="0" applyFont="1" applyFill="1" applyAlignment="1">
      <alignment horizontal="center"/>
    </xf>
    <xf numFmtId="0" fontId="18" fillId="5" borderId="36" xfId="0" applyFont="1" applyFill="1" applyBorder="1" applyAlignment="1">
      <alignment horizontal="center"/>
    </xf>
    <xf numFmtId="0" fontId="18" fillId="5" borderId="10" xfId="0" applyFont="1" applyFill="1" applyBorder="1" applyAlignment="1">
      <alignment horizontal="center"/>
    </xf>
    <xf numFmtId="0" fontId="18" fillId="5" borderId="37" xfId="0" applyFont="1" applyFill="1" applyBorder="1" applyAlignment="1">
      <alignment horizontal="center"/>
    </xf>
    <xf numFmtId="0" fontId="6" fillId="6" borderId="1" xfId="0" applyFont="1" applyFill="1" applyBorder="1" applyAlignment="1">
      <alignment horizontal="center"/>
    </xf>
    <xf numFmtId="0" fontId="6" fillId="6" borderId="2" xfId="0" applyFont="1" applyFill="1" applyBorder="1" applyAlignment="1">
      <alignment horizontal="center"/>
    </xf>
    <xf numFmtId="0" fontId="6" fillId="6" borderId="3" xfId="0" applyFont="1" applyFill="1" applyBorder="1" applyAlignment="1">
      <alignment horizontal="center"/>
    </xf>
    <xf numFmtId="0" fontId="6" fillId="6" borderId="12" xfId="0" applyFont="1" applyFill="1" applyBorder="1" applyAlignment="1">
      <alignment horizontal="center"/>
    </xf>
    <xf numFmtId="0" fontId="6" fillId="6" borderId="13" xfId="0" applyFont="1" applyFill="1" applyBorder="1" applyAlignment="1">
      <alignment horizontal="center"/>
    </xf>
    <xf numFmtId="0" fontId="6" fillId="6" borderId="6" xfId="0" applyFont="1" applyFill="1" applyBorder="1" applyAlignment="1">
      <alignment horizontal="center"/>
    </xf>
    <xf numFmtId="0" fontId="14" fillId="8" borderId="0" xfId="0" applyFont="1" applyFill="1" applyAlignment="1">
      <alignment horizontal="left" wrapText="1"/>
    </xf>
    <xf numFmtId="0" fontId="70" fillId="8" borderId="18" xfId="0" applyFont="1" applyFill="1" applyBorder="1" applyAlignment="1">
      <alignment horizontal="left"/>
    </xf>
    <xf numFmtId="0" fontId="70" fillId="8" borderId="0" xfId="0" applyFont="1" applyFill="1" applyAlignment="1">
      <alignment horizontal="left"/>
    </xf>
    <xf numFmtId="0" fontId="70" fillId="8" borderId="19" xfId="0" applyFont="1" applyFill="1" applyBorder="1" applyAlignment="1">
      <alignment horizontal="left"/>
    </xf>
    <xf numFmtId="0" fontId="6" fillId="8" borderId="0" xfId="0" applyFont="1" applyFill="1" applyAlignment="1">
      <alignment horizontal="left" wrapText="1"/>
    </xf>
    <xf numFmtId="0" fontId="18" fillId="14" borderId="20" xfId="0" applyFont="1" applyFill="1" applyBorder="1" applyAlignment="1">
      <alignment horizontal="center"/>
    </xf>
    <xf numFmtId="0" fontId="18" fillId="14" borderId="8" xfId="0" applyFont="1" applyFill="1" applyBorder="1" applyAlignment="1">
      <alignment horizontal="center"/>
    </xf>
    <xf numFmtId="0" fontId="18" fillId="14" borderId="21" xfId="0" applyFont="1" applyFill="1" applyBorder="1" applyAlignment="1">
      <alignment horizontal="center"/>
    </xf>
    <xf numFmtId="0" fontId="18" fillId="9" borderId="36" xfId="0" applyFont="1" applyFill="1" applyBorder="1" applyAlignment="1">
      <alignment horizontal="center"/>
    </xf>
    <xf numFmtId="0" fontId="18" fillId="9" borderId="10" xfId="0" applyFont="1" applyFill="1" applyBorder="1" applyAlignment="1">
      <alignment horizontal="center"/>
    </xf>
    <xf numFmtId="0" fontId="18" fillId="9" borderId="37" xfId="0" applyFont="1" applyFill="1" applyBorder="1" applyAlignment="1">
      <alignment horizontal="center"/>
    </xf>
    <xf numFmtId="0" fontId="18" fillId="12" borderId="55" xfId="0" applyFont="1" applyFill="1" applyBorder="1" applyAlignment="1">
      <alignment horizontal="center"/>
    </xf>
    <xf numFmtId="0" fontId="18" fillId="12" borderId="56" xfId="0" applyFont="1" applyFill="1" applyBorder="1" applyAlignment="1">
      <alignment horizontal="center"/>
    </xf>
    <xf numFmtId="0" fontId="18" fillId="12" borderId="72" xfId="0" applyFont="1" applyFill="1" applyBorder="1" applyAlignment="1">
      <alignment horizontal="center"/>
    </xf>
    <xf numFmtId="0" fontId="18" fillId="12" borderId="42" xfId="0" applyFont="1" applyFill="1" applyBorder="1" applyAlignment="1">
      <alignment horizontal="center"/>
    </xf>
    <xf numFmtId="0" fontId="6" fillId="6" borderId="35" xfId="0" applyFont="1" applyFill="1" applyBorder="1" applyAlignment="1">
      <alignment horizontal="center"/>
    </xf>
    <xf numFmtId="0" fontId="6" fillId="6" borderId="16" xfId="0" applyFont="1" applyFill="1" applyBorder="1" applyAlignment="1">
      <alignment horizontal="center"/>
    </xf>
    <xf numFmtId="0" fontId="6" fillId="6" borderId="24" xfId="0" applyFont="1" applyFill="1" applyBorder="1" applyAlignment="1">
      <alignment horizontal="center"/>
    </xf>
    <xf numFmtId="0" fontId="76" fillId="8" borderId="0" xfId="3" applyFont="1" applyFill="1" applyAlignment="1" applyProtection="1">
      <alignment horizontal="left"/>
    </xf>
    <xf numFmtId="0" fontId="18" fillId="15" borderId="36" xfId="0" applyFont="1" applyFill="1" applyBorder="1" applyAlignment="1">
      <alignment horizontal="center"/>
    </xf>
    <xf numFmtId="0" fontId="18" fillId="15" borderId="10" xfId="0" applyFont="1" applyFill="1" applyBorder="1" applyAlignment="1">
      <alignment horizontal="center"/>
    </xf>
    <xf numFmtId="0" fontId="18" fillId="15" borderId="37" xfId="0" applyFont="1" applyFill="1" applyBorder="1" applyAlignment="1">
      <alignment horizontal="center"/>
    </xf>
    <xf numFmtId="0" fontId="18" fillId="11" borderId="20" xfId="0" applyFont="1" applyFill="1" applyBorder="1" applyAlignment="1">
      <alignment horizontal="center"/>
    </xf>
    <xf numFmtId="0" fontId="18" fillId="11" borderId="8" xfId="0" applyFont="1" applyFill="1" applyBorder="1" applyAlignment="1">
      <alignment horizontal="center"/>
    </xf>
    <xf numFmtId="0" fontId="18" fillId="11" borderId="21" xfId="0" applyFont="1" applyFill="1" applyBorder="1" applyAlignment="1">
      <alignment horizontal="center"/>
    </xf>
    <xf numFmtId="0" fontId="6" fillId="8" borderId="35" xfId="0" applyFont="1" applyFill="1" applyBorder="1" applyAlignment="1">
      <alignment horizontal="center"/>
    </xf>
    <xf numFmtId="0" fontId="6" fillId="8" borderId="16" xfId="0" applyFont="1" applyFill="1" applyBorder="1" applyAlignment="1">
      <alignment horizontal="center"/>
    </xf>
    <xf numFmtId="0" fontId="6" fillId="8" borderId="24" xfId="0" applyFont="1" applyFill="1" applyBorder="1" applyAlignment="1">
      <alignment horizontal="center"/>
    </xf>
    <xf numFmtId="0" fontId="14" fillId="8" borderId="8" xfId="0" applyFont="1" applyFill="1" applyBorder="1" applyAlignment="1">
      <alignment horizontal="center"/>
    </xf>
    <xf numFmtId="0" fontId="14" fillId="8" borderId="9" xfId="0" applyFont="1" applyFill="1" applyBorder="1" applyAlignment="1">
      <alignment horizontal="center"/>
    </xf>
    <xf numFmtId="0" fontId="6" fillId="8" borderId="70" xfId="0" applyFont="1" applyFill="1" applyBorder="1" applyAlignment="1">
      <alignment horizontal="center"/>
    </xf>
    <xf numFmtId="0" fontId="6" fillId="8" borderId="69" xfId="0" applyFont="1" applyFill="1" applyBorder="1" applyAlignment="1">
      <alignment horizontal="center"/>
    </xf>
    <xf numFmtId="0" fontId="9" fillId="0" borderId="0" xfId="0" applyFont="1" applyAlignment="1" applyProtection="1">
      <alignment horizontal="center"/>
      <protection locked="0"/>
    </xf>
    <xf numFmtId="0" fontId="42" fillId="0" borderId="0" xfId="3" applyAlignment="1" applyProtection="1">
      <alignment horizontal="left"/>
      <protection locked="0"/>
    </xf>
    <xf numFmtId="0" fontId="2" fillId="0" borderId="0" xfId="0" applyFont="1" applyAlignment="1">
      <alignment horizontal="left" wrapText="1"/>
    </xf>
    <xf numFmtId="0" fontId="9" fillId="0" borderId="13" xfId="0" applyFont="1" applyBorder="1" applyAlignment="1" applyProtection="1">
      <alignment horizontal="center"/>
      <protection locked="0"/>
    </xf>
    <xf numFmtId="0" fontId="3" fillId="0" borderId="0" xfId="0" applyFont="1" applyAlignment="1" applyProtection="1">
      <alignment horizontal="center" wrapText="1"/>
      <protection locked="0"/>
    </xf>
    <xf numFmtId="9" fontId="9" fillId="7" borderId="35" xfId="0" applyNumberFormat="1" applyFont="1" applyFill="1" applyBorder="1" applyAlignment="1">
      <alignment horizontal="center"/>
    </xf>
    <xf numFmtId="9" fontId="9" fillId="7" borderId="16" xfId="0" applyNumberFormat="1" applyFont="1" applyFill="1" applyBorder="1" applyAlignment="1">
      <alignment horizontal="center"/>
    </xf>
    <xf numFmtId="9" fontId="9" fillId="7" borderId="24" xfId="0" applyNumberFormat="1" applyFont="1" applyFill="1" applyBorder="1" applyAlignment="1">
      <alignment horizontal="center"/>
    </xf>
    <xf numFmtId="0" fontId="21" fillId="12" borderId="35" xfId="0" applyFont="1" applyFill="1" applyBorder="1" applyAlignment="1">
      <alignment horizontal="center"/>
    </xf>
    <xf numFmtId="0" fontId="21" fillId="12" borderId="16" xfId="0" applyFont="1" applyFill="1" applyBorder="1" applyAlignment="1">
      <alignment horizontal="center"/>
    </xf>
    <xf numFmtId="0" fontId="21" fillId="12" borderId="24" xfId="0" applyFont="1" applyFill="1" applyBorder="1" applyAlignment="1">
      <alignment horizontal="center"/>
    </xf>
    <xf numFmtId="0" fontId="40" fillId="0" borderId="6" xfId="0" applyFont="1" applyBorder="1" applyAlignment="1" applyProtection="1">
      <alignment horizontal="center"/>
      <protection locked="0"/>
    </xf>
    <xf numFmtId="0" fontId="40" fillId="0" borderId="43" xfId="0" applyFont="1" applyBorder="1" applyAlignment="1" applyProtection="1">
      <alignment horizontal="center"/>
      <protection locked="0"/>
    </xf>
    <xf numFmtId="0" fontId="66" fillId="12" borderId="1" xfId="0" applyFont="1" applyFill="1" applyBorder="1" applyAlignment="1">
      <alignment horizontal="center" vertical="center"/>
    </xf>
    <xf numFmtId="0" fontId="66" fillId="12" borderId="2" xfId="0" applyFont="1" applyFill="1" applyBorder="1" applyAlignment="1">
      <alignment horizontal="center" vertical="center"/>
    </xf>
    <xf numFmtId="0" fontId="66" fillId="12" borderId="3" xfId="0" applyFont="1" applyFill="1" applyBorder="1" applyAlignment="1">
      <alignment horizontal="center" vertical="center"/>
    </xf>
    <xf numFmtId="0" fontId="66" fillId="12" borderId="4" xfId="0" applyFont="1" applyFill="1" applyBorder="1" applyAlignment="1">
      <alignment horizontal="center" vertical="center"/>
    </xf>
    <xf numFmtId="0" fontId="66" fillId="12" borderId="0" xfId="0" applyFont="1" applyFill="1" applyAlignment="1">
      <alignment horizontal="center" vertical="center"/>
    </xf>
    <xf numFmtId="0" fontId="66" fillId="12" borderId="5" xfId="0" applyFont="1" applyFill="1" applyBorder="1" applyAlignment="1">
      <alignment horizontal="center" vertical="center"/>
    </xf>
    <xf numFmtId="0" fontId="9" fillId="0" borderId="35" xfId="0" applyFont="1" applyBorder="1" applyAlignment="1">
      <alignment horizontal="center"/>
    </xf>
    <xf numFmtId="0" fontId="9" fillId="0" borderId="16" xfId="0" applyFont="1" applyBorder="1" applyAlignment="1">
      <alignment horizontal="center"/>
    </xf>
    <xf numFmtId="0" fontId="9" fillId="0" borderId="24" xfId="0" applyFont="1" applyBorder="1" applyAlignment="1">
      <alignment horizontal="center"/>
    </xf>
    <xf numFmtId="0" fontId="21" fillId="12" borderId="55" xfId="0" applyFont="1" applyFill="1" applyBorder="1" applyAlignment="1">
      <alignment horizontal="center"/>
    </xf>
    <xf numFmtId="0" fontId="21" fillId="12" borderId="56" xfId="0" applyFont="1" applyFill="1" applyBorder="1" applyAlignment="1">
      <alignment horizontal="center"/>
    </xf>
    <xf numFmtId="0" fontId="21" fillId="12" borderId="42" xfId="0" applyFont="1" applyFill="1" applyBorder="1" applyAlignment="1">
      <alignment horizontal="center"/>
    </xf>
    <xf numFmtId="0" fontId="9" fillId="0" borderId="36" xfId="0" applyFont="1" applyBorder="1" applyAlignment="1" applyProtection="1">
      <alignment horizontal="center"/>
      <protection locked="0"/>
    </xf>
    <xf numFmtId="0" fontId="9" fillId="0" borderId="10" xfId="0" applyFont="1" applyBorder="1" applyAlignment="1" applyProtection="1">
      <alignment horizontal="center"/>
      <protection locked="0"/>
    </xf>
    <xf numFmtId="0" fontId="9" fillId="0" borderId="37" xfId="0" applyFont="1" applyBorder="1" applyAlignment="1" applyProtection="1">
      <alignment horizontal="center"/>
      <protection locked="0"/>
    </xf>
    <xf numFmtId="0" fontId="2" fillId="0" borderId="20" xfId="0" applyFont="1" applyBorder="1" applyAlignment="1">
      <alignment horizontal="center"/>
    </xf>
    <xf numFmtId="0" fontId="2" fillId="0" borderId="8" xfId="0" applyFont="1" applyBorder="1" applyAlignment="1">
      <alignment horizontal="center"/>
    </xf>
    <xf numFmtId="0" fontId="19" fillId="12" borderId="0" xfId="0" applyFont="1" applyFill="1" applyAlignment="1">
      <alignment horizontal="center"/>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18453B"/>
      <color rgb="FF0DB14B"/>
      <color rgb="FF63C384"/>
      <color rgb="FFF2C4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Comparison of Variable and Fixed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Chart!$I$2</c:f>
              <c:strCache>
                <c:ptCount val="1"/>
                <c:pt idx="0">
                  <c:v>Variable</c:v>
                </c:pt>
              </c:strCache>
            </c:strRef>
          </c:tx>
          <c:spPr>
            <a:solidFill>
              <a:srgbClr val="F2C400"/>
            </a:solidFill>
            <a:ln>
              <a:solidFill>
                <a:schemeClr val="tx1"/>
              </a:solidFill>
            </a:ln>
            <a:effectLst/>
          </c:spPr>
          <c:invertIfNegative val="0"/>
          <c:cat>
            <c:strRef>
              <c:f>Chart!$J$1:$L$1</c:f>
              <c:strCache>
                <c:ptCount val="3"/>
                <c:pt idx="0">
                  <c:v>Alfalfa</c:v>
                </c:pt>
                <c:pt idx="1">
                  <c:v>Alfalfa/Grass</c:v>
                </c:pt>
                <c:pt idx="2">
                  <c:v>Grass</c:v>
                </c:pt>
              </c:strCache>
            </c:strRef>
          </c:cat>
          <c:val>
            <c:numRef>
              <c:f>Chart!$J$2:$L$2</c:f>
              <c:numCache>
                <c:formatCode>_("$"* #,##0.00_);_("$"* \(#,##0.00\);_("$"* "-"??_);_(@_)</c:formatCode>
                <c:ptCount val="3"/>
                <c:pt idx="0">
                  <c:v>0</c:v>
                </c:pt>
                <c:pt idx="1">
                  <c:v>0</c:v>
                </c:pt>
                <c:pt idx="2">
                  <c:v>0</c:v>
                </c:pt>
              </c:numCache>
            </c:numRef>
          </c:val>
          <c:extLst>
            <c:ext xmlns:c16="http://schemas.microsoft.com/office/drawing/2014/chart" uri="{C3380CC4-5D6E-409C-BE32-E72D297353CC}">
              <c16:uniqueId val="{00000000-30B1-4188-954A-760A608246DE}"/>
            </c:ext>
          </c:extLst>
        </c:ser>
        <c:ser>
          <c:idx val="1"/>
          <c:order val="1"/>
          <c:tx>
            <c:strRef>
              <c:f>Chart!$I$3</c:f>
              <c:strCache>
                <c:ptCount val="1"/>
                <c:pt idx="0">
                  <c:v>Fixed</c:v>
                </c:pt>
              </c:strCache>
            </c:strRef>
          </c:tx>
          <c:spPr>
            <a:solidFill>
              <a:srgbClr val="00B0F0"/>
            </a:solidFill>
            <a:ln>
              <a:solidFill>
                <a:schemeClr val="tx1"/>
              </a:solidFill>
            </a:ln>
            <a:effectLst/>
          </c:spPr>
          <c:invertIfNegative val="0"/>
          <c:cat>
            <c:strRef>
              <c:f>Chart!$J$1:$L$1</c:f>
              <c:strCache>
                <c:ptCount val="3"/>
                <c:pt idx="0">
                  <c:v>Alfalfa</c:v>
                </c:pt>
                <c:pt idx="1">
                  <c:v>Alfalfa/Grass</c:v>
                </c:pt>
                <c:pt idx="2">
                  <c:v>Grass</c:v>
                </c:pt>
              </c:strCache>
            </c:strRef>
          </c:cat>
          <c:val>
            <c:numRef>
              <c:f>Chart!$J$3:$L$3</c:f>
              <c:numCache>
                <c:formatCode>_("$"* #,##0.00_);_("$"* \(#,##0.00\);_("$"* "-"??_);_(@_)</c:formatCode>
                <c:ptCount val="3"/>
                <c:pt idx="0">
                  <c:v>0</c:v>
                </c:pt>
                <c:pt idx="1">
                  <c:v>0</c:v>
                </c:pt>
                <c:pt idx="2">
                  <c:v>0</c:v>
                </c:pt>
              </c:numCache>
            </c:numRef>
          </c:val>
          <c:extLst>
            <c:ext xmlns:c16="http://schemas.microsoft.com/office/drawing/2014/chart" uri="{C3380CC4-5D6E-409C-BE32-E72D297353CC}">
              <c16:uniqueId val="{00000001-30B1-4188-954A-760A608246DE}"/>
            </c:ext>
          </c:extLst>
        </c:ser>
        <c:dLbls>
          <c:showLegendKey val="0"/>
          <c:showVal val="0"/>
          <c:showCatName val="0"/>
          <c:showSerName val="0"/>
          <c:showPercent val="0"/>
          <c:showBubbleSize val="0"/>
        </c:dLbls>
        <c:gapWidth val="150"/>
        <c:overlap val="100"/>
        <c:axId val="130257743"/>
        <c:axId val="942824143"/>
        <c:extLst/>
      </c:barChart>
      <c:catAx>
        <c:axId val="130257743"/>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824143"/>
        <c:crosses val="autoZero"/>
        <c:auto val="1"/>
        <c:lblAlgn val="ctr"/>
        <c:lblOffset val="100"/>
        <c:noMultiLvlLbl val="0"/>
      </c:catAx>
      <c:valAx>
        <c:axId val="94282414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30257743"/>
        <c:crosses val="autoZero"/>
        <c:crossBetween val="between"/>
      </c:val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Costs (Alfalfa)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Chart!$B$1</c:f>
              <c:strCache>
                <c:ptCount val="1"/>
                <c:pt idx="0">
                  <c:v>Alfalfa</c:v>
                </c:pt>
              </c:strCache>
            </c:strRef>
          </c:tx>
          <c:spPr>
            <a:solidFill>
              <a:srgbClr val="F2C400"/>
            </a:solidFill>
            <a:ln>
              <a:noFill/>
            </a:ln>
            <a:effectLst/>
          </c:spPr>
          <c:invertIfNegative val="0"/>
          <c:cat>
            <c:strRef>
              <c:f>Chart!$A$2:$A$40</c:f>
              <c:strCache>
                <c:ptCount val="23"/>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Hired Labor</c:v>
                </c:pt>
                <c:pt idx="14">
                  <c:v>Farm Insurance</c:v>
                </c:pt>
                <c:pt idx="15">
                  <c:v>Real Estate Taxes</c:v>
                </c:pt>
                <c:pt idx="16">
                  <c:v>Land Rent</c:v>
                </c:pt>
                <c:pt idx="17">
                  <c:v>Depreciation (Economic)</c:v>
                </c:pt>
                <c:pt idx="18">
                  <c:v>Other (variable &amp; fixed)</c:v>
                </c:pt>
                <c:pt idx="19">
                  <c:v>Income Taxes</c:v>
                </c:pt>
                <c:pt idx="20">
                  <c:v>Owner Withdrawal</c:v>
                </c:pt>
                <c:pt idx="21">
                  <c:v>Interest (Oper &amp; Term)</c:v>
                </c:pt>
                <c:pt idx="22">
                  <c:v>Principal Payment</c:v>
                </c:pt>
              </c:strCache>
            </c:strRef>
          </c:cat>
          <c:val>
            <c:numRef>
              <c:f>Chart!$B$2:$B$40</c:f>
              <c:numCache>
                <c:formatCode>_("$"* #,##0.00_);_("$"* \(#,##0.00\);_("$"* "-"??_);_(@_)</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F9D1-45A1-92E0-E293706260B0}"/>
            </c:ext>
          </c:extLst>
        </c:ser>
        <c:dLbls>
          <c:showLegendKey val="0"/>
          <c:showVal val="0"/>
          <c:showCatName val="0"/>
          <c:showSerName val="0"/>
          <c:showPercent val="0"/>
          <c:showBubbleSize val="0"/>
        </c:dLbls>
        <c:gapWidth val="182"/>
        <c:axId val="1199205071"/>
        <c:axId val="942854095"/>
      </c:barChart>
      <c:catAx>
        <c:axId val="1199205071"/>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854095"/>
        <c:crosses val="autoZero"/>
        <c:auto val="1"/>
        <c:lblAlgn val="ctr"/>
        <c:lblOffset val="100"/>
        <c:noMultiLvlLbl val="0"/>
      </c:catAx>
      <c:valAx>
        <c:axId val="942854095"/>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99205071"/>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Costs (Alfalfa/Grass)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Chart!$C$1</c:f>
              <c:strCache>
                <c:ptCount val="1"/>
                <c:pt idx="0">
                  <c:v>Alfalfa/Grass</c:v>
                </c:pt>
              </c:strCache>
            </c:strRef>
          </c:tx>
          <c:spPr>
            <a:solidFill>
              <a:schemeClr val="accent1"/>
            </a:solidFill>
            <a:ln>
              <a:noFill/>
            </a:ln>
            <a:effectLst/>
          </c:spPr>
          <c:invertIfNegative val="0"/>
          <c:cat>
            <c:strRef>
              <c:f>Chart!$A$2:$A$40</c:f>
              <c:strCache>
                <c:ptCount val="23"/>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Hired Labor</c:v>
                </c:pt>
                <c:pt idx="14">
                  <c:v>Farm Insurance</c:v>
                </c:pt>
                <c:pt idx="15">
                  <c:v>Real Estate Taxes</c:v>
                </c:pt>
                <c:pt idx="16">
                  <c:v>Land Rent</c:v>
                </c:pt>
                <c:pt idx="17">
                  <c:v>Depreciation (Economic)</c:v>
                </c:pt>
                <c:pt idx="18">
                  <c:v>Other (variable &amp; fixed)</c:v>
                </c:pt>
                <c:pt idx="19">
                  <c:v>Income Taxes</c:v>
                </c:pt>
                <c:pt idx="20">
                  <c:v>Owner Withdrawal</c:v>
                </c:pt>
                <c:pt idx="21">
                  <c:v>Interest (Oper &amp; Term)</c:v>
                </c:pt>
                <c:pt idx="22">
                  <c:v>Principal Payment</c:v>
                </c:pt>
              </c:strCache>
            </c:strRef>
          </c:cat>
          <c:val>
            <c:numRef>
              <c:f>Chart!$C$2:$C$40</c:f>
              <c:numCache>
                <c:formatCode>_("$"* #,##0.00_);_("$"* \(#,##0.00\);_("$"* "-"??_);_(@_)</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BB23-4367-BA27-4D564202ECD9}"/>
            </c:ext>
          </c:extLst>
        </c:ser>
        <c:dLbls>
          <c:showLegendKey val="0"/>
          <c:showVal val="0"/>
          <c:showCatName val="0"/>
          <c:showSerName val="0"/>
          <c:showPercent val="0"/>
          <c:showBubbleSize val="0"/>
        </c:dLbls>
        <c:gapWidth val="182"/>
        <c:axId val="1199205071"/>
        <c:axId val="942854095"/>
      </c:barChart>
      <c:catAx>
        <c:axId val="1199205071"/>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854095"/>
        <c:crosses val="autoZero"/>
        <c:auto val="1"/>
        <c:lblAlgn val="ctr"/>
        <c:lblOffset val="100"/>
        <c:noMultiLvlLbl val="0"/>
      </c:catAx>
      <c:valAx>
        <c:axId val="942854095"/>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99205071"/>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Costs (Grass)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Chart!$D$1</c:f>
              <c:strCache>
                <c:ptCount val="1"/>
                <c:pt idx="0">
                  <c:v>Grass</c:v>
                </c:pt>
              </c:strCache>
            </c:strRef>
          </c:tx>
          <c:spPr>
            <a:solidFill>
              <a:srgbClr val="00B050"/>
            </a:solidFill>
            <a:ln>
              <a:noFill/>
            </a:ln>
            <a:effectLst/>
          </c:spPr>
          <c:invertIfNegative val="0"/>
          <c:cat>
            <c:strRef>
              <c:f>Chart!$A$2:$A$40</c:f>
              <c:strCache>
                <c:ptCount val="23"/>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Hired Labor</c:v>
                </c:pt>
                <c:pt idx="14">
                  <c:v>Farm Insurance</c:v>
                </c:pt>
                <c:pt idx="15">
                  <c:v>Real Estate Taxes</c:v>
                </c:pt>
                <c:pt idx="16">
                  <c:v>Land Rent</c:v>
                </c:pt>
                <c:pt idx="17">
                  <c:v>Depreciation (Economic)</c:v>
                </c:pt>
                <c:pt idx="18">
                  <c:v>Other (variable &amp; fixed)</c:v>
                </c:pt>
                <c:pt idx="19">
                  <c:v>Income Taxes</c:v>
                </c:pt>
                <c:pt idx="20">
                  <c:v>Owner Withdrawal</c:v>
                </c:pt>
                <c:pt idx="21">
                  <c:v>Interest (Oper &amp; Term)</c:v>
                </c:pt>
                <c:pt idx="22">
                  <c:v>Principal Payment</c:v>
                </c:pt>
              </c:strCache>
            </c:strRef>
          </c:cat>
          <c:val>
            <c:numRef>
              <c:f>Chart!$D$2:$D$40</c:f>
              <c:numCache>
                <c:formatCode>_("$"* #,##0.00_);_("$"* \(#,##0.00\);_("$"* "-"??_);_(@_)</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5B11-4AE2-9AD7-83CB572FE64F}"/>
            </c:ext>
          </c:extLst>
        </c:ser>
        <c:dLbls>
          <c:showLegendKey val="0"/>
          <c:showVal val="0"/>
          <c:showCatName val="0"/>
          <c:showSerName val="0"/>
          <c:showPercent val="0"/>
          <c:showBubbleSize val="0"/>
        </c:dLbls>
        <c:gapWidth val="182"/>
        <c:axId val="1199205071"/>
        <c:axId val="942854095"/>
      </c:barChart>
      <c:catAx>
        <c:axId val="1199205071"/>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854095"/>
        <c:crosses val="autoZero"/>
        <c:auto val="1"/>
        <c:lblAlgn val="ctr"/>
        <c:lblOffset val="100"/>
        <c:noMultiLvlLbl val="0"/>
      </c:catAx>
      <c:valAx>
        <c:axId val="942854095"/>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99205071"/>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107156</xdr:colOff>
      <xdr:row>1</xdr:row>
      <xdr:rowOff>166687</xdr:rowOff>
    </xdr:from>
    <xdr:to>
      <xdr:col>2</xdr:col>
      <xdr:colOff>1607789</xdr:colOff>
      <xdr:row>4</xdr:row>
      <xdr:rowOff>103716</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547687"/>
          <a:ext cx="2681733" cy="519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93166</xdr:colOff>
      <xdr:row>1</xdr:row>
      <xdr:rowOff>169333</xdr:rowOff>
    </xdr:from>
    <xdr:to>
      <xdr:col>17</xdr:col>
      <xdr:colOff>1548079</xdr:colOff>
      <xdr:row>4</xdr:row>
      <xdr:rowOff>93662</xdr:rowOff>
    </xdr:to>
    <xdr:pic>
      <xdr:nvPicPr>
        <xdr:cNvPr id="4" name="Picture 3">
          <a:extLst>
            <a:ext uri="{FF2B5EF4-FFF2-40B4-BE49-F238E27FC236}">
              <a16:creationId xmlns:a16="http://schemas.microsoft.com/office/drawing/2014/main" id="{F2F94B30-CBBD-4F70-8B11-4971C4DC70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2499" y="558800"/>
          <a:ext cx="2674113" cy="50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0</xdr:col>
      <xdr:colOff>2712213</xdr:colOff>
      <xdr:row>2</xdr:row>
      <xdr:rowOff>147638</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2674113" cy="50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226217</xdr:colOff>
      <xdr:row>179</xdr:row>
      <xdr:rowOff>154782</xdr:rowOff>
    </xdr:from>
    <xdr:to>
      <xdr:col>12</xdr:col>
      <xdr:colOff>1038223</xdr:colOff>
      <xdr:row>201</xdr:row>
      <xdr:rowOff>109824</xdr:rowOff>
    </xdr:to>
    <xdr:graphicFrame macro="">
      <xdr:nvGraphicFramePr>
        <xdr:cNvPr id="6" name="Chart 5">
          <a:extLst>
            <a:ext uri="{FF2B5EF4-FFF2-40B4-BE49-F238E27FC236}">
              <a16:creationId xmlns:a16="http://schemas.microsoft.com/office/drawing/2014/main" id="{FEF61EEA-16D5-4252-ABCF-1B0B0D3ADD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144</xdr:row>
      <xdr:rowOff>23815</xdr:rowOff>
    </xdr:from>
    <xdr:to>
      <xdr:col>4</xdr:col>
      <xdr:colOff>730377</xdr:colOff>
      <xdr:row>172</xdr:row>
      <xdr:rowOff>122875</xdr:rowOff>
    </xdr:to>
    <xdr:graphicFrame macro="">
      <xdr:nvGraphicFramePr>
        <xdr:cNvPr id="7" name="Chart 6">
          <a:extLst>
            <a:ext uri="{FF2B5EF4-FFF2-40B4-BE49-F238E27FC236}">
              <a16:creationId xmlns:a16="http://schemas.microsoft.com/office/drawing/2014/main" id="{0D5F9D8A-6916-4B37-83F3-492ECC008D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223837</xdr:colOff>
      <xdr:row>144</xdr:row>
      <xdr:rowOff>35718</xdr:rowOff>
    </xdr:from>
    <xdr:to>
      <xdr:col>12</xdr:col>
      <xdr:colOff>1108995</xdr:colOff>
      <xdr:row>172</xdr:row>
      <xdr:rowOff>134778</xdr:rowOff>
    </xdr:to>
    <xdr:graphicFrame macro="">
      <xdr:nvGraphicFramePr>
        <xdr:cNvPr id="8" name="Chart 7">
          <a:extLst>
            <a:ext uri="{FF2B5EF4-FFF2-40B4-BE49-F238E27FC236}">
              <a16:creationId xmlns:a16="http://schemas.microsoft.com/office/drawing/2014/main" id="{36AF6E39-13D1-416B-AC3B-B006A8768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47625</xdr:colOff>
      <xdr:row>173</xdr:row>
      <xdr:rowOff>16667</xdr:rowOff>
    </xdr:from>
    <xdr:to>
      <xdr:col>4</xdr:col>
      <xdr:colOff>730377</xdr:colOff>
      <xdr:row>201</xdr:row>
      <xdr:rowOff>115727</xdr:rowOff>
    </xdr:to>
    <xdr:graphicFrame macro="">
      <xdr:nvGraphicFramePr>
        <xdr:cNvPr id="9" name="Chart 8">
          <a:extLst>
            <a:ext uri="{FF2B5EF4-FFF2-40B4-BE49-F238E27FC236}">
              <a16:creationId xmlns:a16="http://schemas.microsoft.com/office/drawing/2014/main" id="{C56E995A-4B3F-453F-B3EF-2537641B45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xdr:col>
      <xdr:colOff>47624</xdr:colOff>
      <xdr:row>71</xdr:row>
      <xdr:rowOff>56357</xdr:rowOff>
    </xdr:from>
    <xdr:ext cx="1905000" cy="368758"/>
    <xdr:pic>
      <xdr:nvPicPr>
        <xdr:cNvPr id="2" name="Picture 1">
          <a:extLst>
            <a:ext uri="{FF2B5EF4-FFF2-40B4-BE49-F238E27FC236}">
              <a16:creationId xmlns:a16="http://schemas.microsoft.com/office/drawing/2014/main" id="{BC18E735-50BB-43EE-9B3E-D81C01F4A4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4" y="13040837"/>
          <a:ext cx="1905000" cy="368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21702</xdr:colOff>
      <xdr:row>44</xdr:row>
      <xdr:rowOff>28575</xdr:rowOff>
    </xdr:from>
    <xdr:ext cx="2869246" cy="3701335"/>
    <xdr:pic>
      <xdr:nvPicPr>
        <xdr:cNvPr id="3" name="Picture 2">
          <a:extLst>
            <a:ext uri="{FF2B5EF4-FFF2-40B4-BE49-F238E27FC236}">
              <a16:creationId xmlns:a16="http://schemas.microsoft.com/office/drawing/2014/main" id="{B22B7A51-316D-47EE-AAE2-2F5DE8613853}"/>
            </a:ext>
          </a:extLst>
        </xdr:cNvPr>
        <xdr:cNvPicPr>
          <a:picLocks noChangeAspect="1"/>
        </xdr:cNvPicPr>
      </xdr:nvPicPr>
      <xdr:blipFill>
        <a:blip xmlns:r="http://schemas.openxmlformats.org/officeDocument/2006/relationships" r:embed="rId2"/>
        <a:stretch>
          <a:fillRect/>
        </a:stretch>
      </xdr:blipFill>
      <xdr:spPr>
        <a:xfrm>
          <a:off x="9165702" y="8075295"/>
          <a:ext cx="2869246" cy="3701335"/>
        </a:xfrm>
        <a:prstGeom prst="rect">
          <a:avLst/>
        </a:prstGeom>
      </xdr:spPr>
    </xdr:pic>
    <xdr:clientData/>
  </xdr:oneCellAnchor>
  <xdr:twoCellAnchor editAs="oneCell">
    <xdr:from>
      <xdr:col>15</xdr:col>
      <xdr:colOff>21702</xdr:colOff>
      <xdr:row>44</xdr:row>
      <xdr:rowOff>28575</xdr:rowOff>
    </xdr:from>
    <xdr:to>
      <xdr:col>18</xdr:col>
      <xdr:colOff>105415</xdr:colOff>
      <xdr:row>62</xdr:row>
      <xdr:rowOff>72311</xdr:rowOff>
    </xdr:to>
    <xdr:pic>
      <xdr:nvPicPr>
        <xdr:cNvPr id="4" name="Picture 3">
          <a:extLst>
            <a:ext uri="{FF2B5EF4-FFF2-40B4-BE49-F238E27FC236}">
              <a16:creationId xmlns:a16="http://schemas.microsoft.com/office/drawing/2014/main" id="{44E33411-D9E0-474D-8B83-7394B44D0635}"/>
            </a:ext>
          </a:extLst>
        </xdr:cNvPr>
        <xdr:cNvPicPr>
          <a:picLocks noChangeAspect="1"/>
        </xdr:cNvPicPr>
      </xdr:nvPicPr>
      <xdr:blipFill>
        <a:blip xmlns:r="http://schemas.openxmlformats.org/officeDocument/2006/relationships" r:embed="rId2"/>
        <a:stretch>
          <a:fillRect/>
        </a:stretch>
      </xdr:blipFill>
      <xdr:spPr>
        <a:xfrm>
          <a:off x="13051902" y="9698355"/>
          <a:ext cx="2865013" cy="37013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3</xdr:col>
      <xdr:colOff>76200</xdr:colOff>
      <xdr:row>1</xdr:row>
      <xdr:rowOff>152400</xdr:rowOff>
    </xdr:from>
    <xdr:ext cx="3043979" cy="3575521"/>
    <xdr:pic>
      <xdr:nvPicPr>
        <xdr:cNvPr id="2" name="Picture 1">
          <a:extLst>
            <a:ext uri="{FF2B5EF4-FFF2-40B4-BE49-F238E27FC236}">
              <a16:creationId xmlns:a16="http://schemas.microsoft.com/office/drawing/2014/main" id="{5B918B99-1A16-4E4F-8C76-7DEF4CD8A36F}"/>
            </a:ext>
          </a:extLst>
        </xdr:cNvPr>
        <xdr:cNvPicPr>
          <a:picLocks noChangeAspect="1"/>
        </xdr:cNvPicPr>
      </xdr:nvPicPr>
      <xdr:blipFill>
        <a:blip xmlns:r="http://schemas.openxmlformats.org/officeDocument/2006/relationships" r:embed="rId1"/>
        <a:stretch>
          <a:fillRect/>
        </a:stretch>
      </xdr:blipFill>
      <xdr:spPr>
        <a:xfrm>
          <a:off x="2560320" y="335280"/>
          <a:ext cx="3043979" cy="357552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absolute">
    <xdr:from>
      <xdr:col>1</xdr:col>
      <xdr:colOff>0</xdr:colOff>
      <xdr:row>25</xdr:row>
      <xdr:rowOff>0</xdr:rowOff>
    </xdr:from>
    <xdr:to>
      <xdr:col>5</xdr:col>
      <xdr:colOff>696088</xdr:colOff>
      <xdr:row>55</xdr:row>
      <xdr:rowOff>19387</xdr:rowOff>
    </xdr:to>
    <xdr:pic>
      <xdr:nvPicPr>
        <xdr:cNvPr id="2" name="Picture 1">
          <a:extLst>
            <a:ext uri="{FF2B5EF4-FFF2-40B4-BE49-F238E27FC236}">
              <a16:creationId xmlns:a16="http://schemas.microsoft.com/office/drawing/2014/main" id="{2B30CBB5-AB55-4CE6-BBF2-F50496FC9B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09600" y="4829175"/>
          <a:ext cx="5468113" cy="57343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ersonal/laportej_msu_edu/Documents/Documents/Farm%20Management%20Files/Budgets%20&amp;%20Tools/Crop%20Budgets/Estimating%20Tool%20(Corn%20Soybeans%20Wheat)/Published%20Version/Crop%20Budget%20Estimator%20Detailed%20v9.xlsx?6B14903A" TargetMode="External"/><Relationship Id="rId1" Type="http://schemas.openxmlformats.org/officeDocument/2006/relationships/externalLinkPath" Target="file:///\\6B14903A\Crop%20Budget%20Estimator%20Detailed%20v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laportej_msu_edu/Documents/Documents/Farm%20Management%20Files/Budgets%20&amp;%20Tools/Fertilizer%20Cost%20Comparison%20Tools/Fertilizer%20Cost%20Comparison%20Tool%20(Field%20Crops)%20v4.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aportej/Documents/Field%20Corn%20(Jon)%20-%20New%20Fa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rop Budget (Main)"/>
      <sheetName val="Variable &amp; Fixed"/>
      <sheetName val="Chemical Plan"/>
      <sheetName val="Adjuvant Help Guide"/>
      <sheetName val="Corn K Calculations"/>
      <sheetName val="Soybean K Calculations"/>
      <sheetName val="Wheat K Calculations"/>
      <sheetName val="Nutrient Management"/>
      <sheetName val="Manure and Nutrient Credits"/>
      <sheetName val="Fertilizer Products &amp; Pricing"/>
      <sheetName val="Fertilizer Plan"/>
      <sheetName val="Loans &amp; Financing"/>
      <sheetName val="Capital &amp; Opportunity"/>
      <sheetName val="Gov't Payments"/>
      <sheetName val="Optimization"/>
      <sheetName val="Chemical List (Corn)"/>
      <sheetName val="Chemical List (Soys)"/>
      <sheetName val="Chemical List (Wheat)"/>
      <sheetName val="Char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A4" t="str">
            <v>None</v>
          </cell>
          <cell r="C4">
            <v>1</v>
          </cell>
          <cell r="D4" t="str">
            <v>None</v>
          </cell>
          <cell r="E4" t="str">
            <v>None</v>
          </cell>
        </row>
        <row r="5">
          <cell r="A5" t="str">
            <v>2,4-D</v>
          </cell>
          <cell r="B5" t="str">
            <v>pt</v>
          </cell>
          <cell r="C5">
            <v>8</v>
          </cell>
          <cell r="D5" t="str">
            <v>Gallon</v>
          </cell>
          <cell r="E5" t="str">
            <v>Post</v>
          </cell>
          <cell r="F5">
            <v>4</v>
          </cell>
        </row>
        <row r="6">
          <cell r="A6" t="str">
            <v>Acuron</v>
          </cell>
          <cell r="B6" t="str">
            <v>qt</v>
          </cell>
          <cell r="C6">
            <v>4</v>
          </cell>
          <cell r="D6" t="str">
            <v>Gallon</v>
          </cell>
          <cell r="E6" t="str">
            <v>Soil Premix</v>
          </cell>
          <cell r="F6" t="str">
            <v>5/15/27/27</v>
          </cell>
        </row>
        <row r="7">
          <cell r="A7" t="str">
            <v>Acuron Flex</v>
          </cell>
          <cell r="B7" t="str">
            <v>qt</v>
          </cell>
          <cell r="C7">
            <v>4</v>
          </cell>
          <cell r="D7" t="str">
            <v>Gallon</v>
          </cell>
          <cell r="E7" t="str">
            <v>Soil Premix</v>
          </cell>
          <cell r="F7" t="str">
            <v>15/27/27</v>
          </cell>
        </row>
        <row r="8">
          <cell r="A8" t="str">
            <v>Anthem ATZ</v>
          </cell>
          <cell r="B8" t="str">
            <v>pt</v>
          </cell>
          <cell r="C8">
            <v>8</v>
          </cell>
          <cell r="D8" t="str">
            <v>Gallon</v>
          </cell>
          <cell r="E8" t="str">
            <v>Soil Premix</v>
          </cell>
          <cell r="F8" t="str">
            <v>15/14/5</v>
          </cell>
        </row>
        <row r="9">
          <cell r="A9" t="str">
            <v>Anthem Maxx</v>
          </cell>
          <cell r="B9" t="str">
            <v>oz</v>
          </cell>
          <cell r="C9">
            <v>128</v>
          </cell>
          <cell r="D9" t="str">
            <v>Ounce</v>
          </cell>
          <cell r="E9" t="str">
            <v>Soil Premix</v>
          </cell>
          <cell r="F9" t="str">
            <v>15/14</v>
          </cell>
        </row>
        <row r="10">
          <cell r="A10" t="str">
            <v>Armezon Pro</v>
          </cell>
          <cell r="B10" t="str">
            <v>oz</v>
          </cell>
          <cell r="C10">
            <v>128</v>
          </cell>
          <cell r="D10" t="str">
            <v>Ounce</v>
          </cell>
          <cell r="E10" t="str">
            <v>Soil Premix</v>
          </cell>
          <cell r="F10" t="str">
            <v>15/27</v>
          </cell>
        </row>
        <row r="11">
          <cell r="A11" t="str">
            <v>Atrazine (Dry)</v>
          </cell>
          <cell r="B11" t="str">
            <v>lb</v>
          </cell>
          <cell r="C11">
            <v>1</v>
          </cell>
          <cell r="D11" t="str">
            <v>Pound</v>
          </cell>
          <cell r="E11" t="str">
            <v>Soil</v>
          </cell>
          <cell r="F11" t="str">
            <v>5</v>
          </cell>
        </row>
        <row r="12">
          <cell r="A12" t="str">
            <v>Atrazine (Liquid)</v>
          </cell>
          <cell r="B12" t="str">
            <v>qt</v>
          </cell>
          <cell r="C12">
            <v>4</v>
          </cell>
          <cell r="D12" t="str">
            <v>Gallon</v>
          </cell>
          <cell r="E12" t="str">
            <v>Soil</v>
          </cell>
          <cell r="F12" t="str">
            <v>5</v>
          </cell>
        </row>
        <row r="13">
          <cell r="A13" t="str">
            <v>Balance Flexx</v>
          </cell>
          <cell r="B13" t="str">
            <v>oz</v>
          </cell>
          <cell r="C13">
            <v>128</v>
          </cell>
          <cell r="D13" t="str">
            <v>Gallon</v>
          </cell>
          <cell r="E13" t="str">
            <v>Soil</v>
          </cell>
          <cell r="F13" t="str">
            <v>27</v>
          </cell>
        </row>
        <row r="14">
          <cell r="A14" t="str">
            <v>Banvel/Clarity</v>
          </cell>
          <cell r="B14" t="str">
            <v>pt</v>
          </cell>
          <cell r="C14">
            <v>8</v>
          </cell>
          <cell r="D14" t="str">
            <v>Gallon</v>
          </cell>
          <cell r="E14" t="str">
            <v>Post</v>
          </cell>
          <cell r="F14">
            <v>4</v>
          </cell>
        </row>
        <row r="15">
          <cell r="A15" t="str">
            <v>Basis Blend</v>
          </cell>
          <cell r="B15" t="str">
            <v>oz</v>
          </cell>
          <cell r="C15">
            <v>128</v>
          </cell>
          <cell r="D15" t="str">
            <v>Ounce</v>
          </cell>
          <cell r="E15" t="str">
            <v>Soil Premix</v>
          </cell>
          <cell r="F15" t="str">
            <v>2/2</v>
          </cell>
        </row>
        <row r="16">
          <cell r="A16" t="str">
            <v>Bicip II Magnum Lite/Cinch ATZ Lite</v>
          </cell>
          <cell r="B16" t="str">
            <v>qt</v>
          </cell>
          <cell r="C16">
            <v>4</v>
          </cell>
          <cell r="D16" t="str">
            <v>Gallon</v>
          </cell>
          <cell r="E16" t="str">
            <v>Soil Premix</v>
          </cell>
          <cell r="F16" t="str">
            <v>5/15</v>
          </cell>
        </row>
        <row r="17">
          <cell r="A17" t="str">
            <v>Bicip II Magnum/Cinch ATZ/Parallel Plus</v>
          </cell>
          <cell r="B17" t="str">
            <v>qt</v>
          </cell>
          <cell r="C17">
            <v>4</v>
          </cell>
          <cell r="D17" t="str">
            <v>Gallon</v>
          </cell>
          <cell r="E17" t="str">
            <v>Soil Premix</v>
          </cell>
          <cell r="F17" t="str">
            <v>5/15</v>
          </cell>
        </row>
        <row r="18">
          <cell r="A18" t="str">
            <v>Breakfree NXT ATZ/Harness XTRA/Keystone NXT</v>
          </cell>
          <cell r="B18" t="str">
            <v>qt</v>
          </cell>
          <cell r="C18">
            <v>4</v>
          </cell>
          <cell r="D18" t="str">
            <v>Gallon</v>
          </cell>
          <cell r="E18" t="str">
            <v>Soil Premix</v>
          </cell>
          <cell r="F18" t="str">
            <v>5/15</v>
          </cell>
        </row>
        <row r="19">
          <cell r="A19" t="str">
            <v>Breakfree NXT Lite/Degree XTRA/Fultime NXT/Keystone LA NXT</v>
          </cell>
          <cell r="B19" t="str">
            <v>qt</v>
          </cell>
          <cell r="C19">
            <v>4</v>
          </cell>
          <cell r="D19" t="str">
            <v>Gallon</v>
          </cell>
          <cell r="E19" t="str">
            <v>Soil Premix</v>
          </cell>
          <cell r="F19" t="str">
            <v>5/15</v>
          </cell>
        </row>
        <row r="20">
          <cell r="A20" t="str">
            <v>Breakfree NXT/Harness/Surpass NXT</v>
          </cell>
          <cell r="B20" t="str">
            <v>pt</v>
          </cell>
          <cell r="C20">
            <v>8</v>
          </cell>
          <cell r="D20" t="str">
            <v>Gallon</v>
          </cell>
          <cell r="E20" t="str">
            <v>Soil</v>
          </cell>
          <cell r="F20" t="str">
            <v>15</v>
          </cell>
        </row>
        <row r="21">
          <cell r="A21" t="str">
            <v>Callisto</v>
          </cell>
          <cell r="B21" t="str">
            <v>oz</v>
          </cell>
          <cell r="C21">
            <v>128</v>
          </cell>
          <cell r="D21" t="str">
            <v>Gallon</v>
          </cell>
          <cell r="E21" t="str">
            <v>Soil</v>
          </cell>
          <cell r="F21" t="str">
            <v>27</v>
          </cell>
        </row>
        <row r="22">
          <cell r="A22" t="str">
            <v>Corvus</v>
          </cell>
          <cell r="B22" t="str">
            <v>oz</v>
          </cell>
          <cell r="C22">
            <v>1</v>
          </cell>
          <cell r="D22" t="str">
            <v>Ounce</v>
          </cell>
          <cell r="E22" t="str">
            <v>Soil Premix</v>
          </cell>
          <cell r="F22" t="str">
            <v>2/27</v>
          </cell>
        </row>
        <row r="23">
          <cell r="A23" t="str">
            <v>Crusher</v>
          </cell>
          <cell r="B23" t="str">
            <v>oz</v>
          </cell>
          <cell r="C23">
            <v>128</v>
          </cell>
          <cell r="D23" t="str">
            <v>Ounce</v>
          </cell>
          <cell r="E23" t="str">
            <v>Soil Premix</v>
          </cell>
          <cell r="F23" t="str">
            <v>2/2</v>
          </cell>
        </row>
        <row r="24">
          <cell r="A24" t="str">
            <v>Dual II Magnum/Cinch/Parallel</v>
          </cell>
          <cell r="B24" t="str">
            <v>qt</v>
          </cell>
          <cell r="C24">
            <v>4</v>
          </cell>
          <cell r="D24" t="str">
            <v>Gallon</v>
          </cell>
          <cell r="E24" t="str">
            <v>Soil</v>
          </cell>
          <cell r="F24" t="str">
            <v>15</v>
          </cell>
        </row>
        <row r="25">
          <cell r="A25" t="str">
            <v>Enlist Duo</v>
          </cell>
          <cell r="B25" t="str">
            <v>pt</v>
          </cell>
          <cell r="C25">
            <v>8</v>
          </cell>
          <cell r="D25" t="str">
            <v>Gallon</v>
          </cell>
          <cell r="E25" t="str">
            <v>Post Pre-Mix</v>
          </cell>
          <cell r="F25" t="str">
            <v>4/9</v>
          </cell>
        </row>
        <row r="26">
          <cell r="A26" t="str">
            <v>Enlist One</v>
          </cell>
          <cell r="B26" t="str">
            <v>pt</v>
          </cell>
          <cell r="C26">
            <v>8</v>
          </cell>
          <cell r="D26" t="str">
            <v>Gallon</v>
          </cell>
          <cell r="E26" t="str">
            <v>Post</v>
          </cell>
          <cell r="F26" t="str">
            <v>4</v>
          </cell>
        </row>
        <row r="27">
          <cell r="A27" t="str">
            <v>Fierce</v>
          </cell>
          <cell r="B27" t="str">
            <v>oz</v>
          </cell>
          <cell r="C27">
            <v>128</v>
          </cell>
          <cell r="D27" t="str">
            <v>Ounce</v>
          </cell>
          <cell r="E27" t="str">
            <v>Soil Premix</v>
          </cell>
          <cell r="F27" t="str">
            <v>14/15</v>
          </cell>
        </row>
        <row r="28">
          <cell r="A28" t="str">
            <v>Glyphosate</v>
          </cell>
          <cell r="B28" t="str">
            <v>oz</v>
          </cell>
          <cell r="C28">
            <v>128</v>
          </cell>
          <cell r="D28" t="str">
            <v>Gallon</v>
          </cell>
          <cell r="E28" t="str">
            <v>Post</v>
          </cell>
          <cell r="F28">
            <v>9</v>
          </cell>
        </row>
        <row r="29">
          <cell r="A29" t="str">
            <v>Harness Max</v>
          </cell>
          <cell r="B29" t="str">
            <v>oz</v>
          </cell>
          <cell r="C29">
            <v>128</v>
          </cell>
          <cell r="D29" t="str">
            <v>Ounce</v>
          </cell>
          <cell r="E29" t="str">
            <v>Soil Premix</v>
          </cell>
          <cell r="F29" t="str">
            <v>15/27</v>
          </cell>
        </row>
        <row r="30">
          <cell r="A30" t="str">
            <v>Hornet WDG/Stanza</v>
          </cell>
          <cell r="B30" t="str">
            <v>oz</v>
          </cell>
          <cell r="C30">
            <v>128</v>
          </cell>
          <cell r="D30" t="str">
            <v>Ounce</v>
          </cell>
          <cell r="E30" t="str">
            <v>Soil Premix</v>
          </cell>
          <cell r="F30" t="str">
            <v>2/4</v>
          </cell>
        </row>
        <row r="31">
          <cell r="A31" t="str">
            <v>Instigate</v>
          </cell>
          <cell r="B31" t="str">
            <v>oz</v>
          </cell>
          <cell r="C31">
            <v>128</v>
          </cell>
          <cell r="D31" t="str">
            <v>Ounce</v>
          </cell>
          <cell r="E31" t="str">
            <v>Soil Premix</v>
          </cell>
          <cell r="F31" t="str">
            <v>2/27</v>
          </cell>
        </row>
        <row r="32">
          <cell r="A32" t="str">
            <v>Lexar EZ</v>
          </cell>
          <cell r="B32" t="str">
            <v>qt</v>
          </cell>
          <cell r="C32">
            <v>4</v>
          </cell>
          <cell r="D32" t="str">
            <v>Gallon</v>
          </cell>
          <cell r="E32" t="str">
            <v>Soil Premix</v>
          </cell>
          <cell r="F32" t="str">
            <v>5/27/15</v>
          </cell>
        </row>
        <row r="33">
          <cell r="A33" t="str">
            <v>Lumax EZ</v>
          </cell>
          <cell r="B33" t="str">
            <v>qt</v>
          </cell>
          <cell r="C33">
            <v>4</v>
          </cell>
          <cell r="D33" t="str">
            <v>Gallon</v>
          </cell>
          <cell r="E33" t="str">
            <v>Soil Premix</v>
          </cell>
          <cell r="F33" t="str">
            <v>5/27/15</v>
          </cell>
        </row>
        <row r="34">
          <cell r="A34" t="str">
            <v>Outlook</v>
          </cell>
          <cell r="B34" t="str">
            <v>oz</v>
          </cell>
          <cell r="C34">
            <v>128</v>
          </cell>
          <cell r="D34" t="str">
            <v>Gallon</v>
          </cell>
          <cell r="E34" t="str">
            <v>Soil</v>
          </cell>
          <cell r="F34" t="str">
            <v>15</v>
          </cell>
        </row>
        <row r="35">
          <cell r="A35" t="str">
            <v>Panoflex</v>
          </cell>
          <cell r="B35" t="str">
            <v>oz</v>
          </cell>
          <cell r="C35">
            <v>128</v>
          </cell>
          <cell r="D35" t="str">
            <v>Ounce</v>
          </cell>
          <cell r="E35" t="str">
            <v>Soil Premix</v>
          </cell>
          <cell r="F35" t="str">
            <v>2/2</v>
          </cell>
        </row>
        <row r="36">
          <cell r="A36" t="str">
            <v>Prequel</v>
          </cell>
          <cell r="B36" t="str">
            <v>oz</v>
          </cell>
          <cell r="C36">
            <v>128</v>
          </cell>
          <cell r="D36" t="str">
            <v>Ounce</v>
          </cell>
          <cell r="E36" t="str">
            <v>Soil Premix</v>
          </cell>
          <cell r="F36" t="str">
            <v>2/27</v>
          </cell>
        </row>
        <row r="37">
          <cell r="A37" t="str">
            <v>Princep</v>
          </cell>
          <cell r="B37" t="str">
            <v>qt</v>
          </cell>
          <cell r="C37">
            <v>4</v>
          </cell>
          <cell r="D37" t="str">
            <v>Gallon</v>
          </cell>
          <cell r="E37" t="str">
            <v>Soil</v>
          </cell>
          <cell r="F37" t="str">
            <v>5</v>
          </cell>
        </row>
        <row r="38">
          <cell r="A38" t="str">
            <v>Prowl H20</v>
          </cell>
          <cell r="B38" t="str">
            <v>pt</v>
          </cell>
          <cell r="C38">
            <v>8</v>
          </cell>
          <cell r="D38" t="str">
            <v>Gallon</v>
          </cell>
          <cell r="E38" t="str">
            <v>Soil</v>
          </cell>
          <cell r="F38" t="str">
            <v>3</v>
          </cell>
        </row>
        <row r="39">
          <cell r="A39" t="str">
            <v>Python/Accolade</v>
          </cell>
          <cell r="B39" t="str">
            <v>oz</v>
          </cell>
          <cell r="C39">
            <v>128</v>
          </cell>
          <cell r="D39" t="str">
            <v>Gallon</v>
          </cell>
          <cell r="E39" t="str">
            <v>Soil</v>
          </cell>
          <cell r="F39" t="str">
            <v>2</v>
          </cell>
        </row>
        <row r="40">
          <cell r="A40" t="str">
            <v>Resicore</v>
          </cell>
          <cell r="B40" t="str">
            <v>qt</v>
          </cell>
          <cell r="C40">
            <v>4</v>
          </cell>
          <cell r="D40" t="str">
            <v>Gallon</v>
          </cell>
          <cell r="E40" t="str">
            <v>Soil Premix</v>
          </cell>
          <cell r="F40" t="str">
            <v>4/15/27</v>
          </cell>
        </row>
        <row r="41">
          <cell r="A41" t="str">
            <v>Resolve SG</v>
          </cell>
          <cell r="B41" t="str">
            <v>oz</v>
          </cell>
          <cell r="C41">
            <v>1</v>
          </cell>
          <cell r="D41" t="str">
            <v>Ounce</v>
          </cell>
          <cell r="E41" t="str">
            <v>Soil</v>
          </cell>
          <cell r="F41" t="str">
            <v>2</v>
          </cell>
        </row>
        <row r="42">
          <cell r="A42" t="str">
            <v>Sharpen</v>
          </cell>
          <cell r="B42" t="str">
            <v>oz</v>
          </cell>
          <cell r="C42">
            <v>128</v>
          </cell>
          <cell r="D42" t="str">
            <v>Gallon</v>
          </cell>
          <cell r="E42" t="str">
            <v>Soil</v>
          </cell>
          <cell r="F42" t="str">
            <v>14</v>
          </cell>
        </row>
        <row r="43">
          <cell r="A43" t="str">
            <v>Surestart II/TripleFlex II</v>
          </cell>
          <cell r="B43" t="str">
            <v>qt</v>
          </cell>
          <cell r="C43">
            <v>4</v>
          </cell>
          <cell r="D43" t="str">
            <v>Gallon</v>
          </cell>
          <cell r="E43" t="str">
            <v>Soil Premix</v>
          </cell>
          <cell r="F43" t="str">
            <v>2/4/15</v>
          </cell>
        </row>
        <row r="44">
          <cell r="A44" t="str">
            <v>Valor/Rowell</v>
          </cell>
          <cell r="B44" t="str">
            <v>oz</v>
          </cell>
          <cell r="C44">
            <v>128</v>
          </cell>
          <cell r="D44" t="str">
            <v>Gallon</v>
          </cell>
          <cell r="E44" t="str">
            <v>Soil</v>
          </cell>
          <cell r="F44" t="str">
            <v>14</v>
          </cell>
        </row>
        <row r="45">
          <cell r="A45" t="str">
            <v>Verdict</v>
          </cell>
          <cell r="B45" t="str">
            <v>oz</v>
          </cell>
          <cell r="C45">
            <v>128</v>
          </cell>
          <cell r="D45" t="str">
            <v>Gallon</v>
          </cell>
          <cell r="E45" t="str">
            <v>Soil Premix</v>
          </cell>
          <cell r="F45" t="str">
            <v>14/15</v>
          </cell>
        </row>
        <row r="46">
          <cell r="A46" t="str">
            <v>Warrant</v>
          </cell>
          <cell r="B46" t="str">
            <v>pt</v>
          </cell>
          <cell r="C46">
            <v>8</v>
          </cell>
          <cell r="D46" t="str">
            <v>Gallon</v>
          </cell>
          <cell r="E46" t="str">
            <v>Soil</v>
          </cell>
          <cell r="F46" t="str">
            <v>9</v>
          </cell>
        </row>
        <row r="47">
          <cell r="A47" t="str">
            <v>Zemax</v>
          </cell>
          <cell r="B47" t="str">
            <v>qt</v>
          </cell>
          <cell r="C47">
            <v>4</v>
          </cell>
          <cell r="D47" t="str">
            <v>Gallon</v>
          </cell>
          <cell r="E47" t="str">
            <v>Soil Premix</v>
          </cell>
          <cell r="F47" t="str">
            <v>27/15</v>
          </cell>
        </row>
        <row r="48">
          <cell r="A48" t="str">
            <v>Zidua</v>
          </cell>
          <cell r="B48" t="str">
            <v>oz</v>
          </cell>
          <cell r="C48">
            <v>1</v>
          </cell>
          <cell r="D48" t="str">
            <v>Gallon</v>
          </cell>
          <cell r="E48" t="str">
            <v>Soil</v>
          </cell>
          <cell r="F48" t="str">
            <v>15</v>
          </cell>
        </row>
        <row r="49">
          <cell r="A49" t="str">
            <v>Enter</v>
          </cell>
          <cell r="B49" t="str">
            <v>Enter</v>
          </cell>
          <cell r="C49">
            <v>0</v>
          </cell>
          <cell r="D49" t="str">
            <v>Enter</v>
          </cell>
          <cell r="E49" t="str">
            <v>Enter</v>
          </cell>
          <cell r="F49">
            <v>0</v>
          </cell>
        </row>
        <row r="50">
          <cell r="A50" t="str">
            <v>Enter</v>
          </cell>
          <cell r="B50" t="str">
            <v>Enter</v>
          </cell>
          <cell r="C50">
            <v>0</v>
          </cell>
          <cell r="D50" t="str">
            <v>Enter</v>
          </cell>
          <cell r="E50" t="str">
            <v>Enter</v>
          </cell>
          <cell r="F50">
            <v>0</v>
          </cell>
        </row>
        <row r="51">
          <cell r="A51" t="str">
            <v>Enter</v>
          </cell>
          <cell r="B51" t="str">
            <v>Enter</v>
          </cell>
          <cell r="C51">
            <v>0</v>
          </cell>
          <cell r="D51" t="str">
            <v>Enter</v>
          </cell>
          <cell r="E51" t="str">
            <v>Enter</v>
          </cell>
          <cell r="F51">
            <v>0</v>
          </cell>
        </row>
        <row r="52">
          <cell r="A52" t="str">
            <v>Enter</v>
          </cell>
          <cell r="B52" t="str">
            <v>Enter</v>
          </cell>
          <cell r="C52">
            <v>0</v>
          </cell>
          <cell r="D52" t="str">
            <v>Enter</v>
          </cell>
          <cell r="E52" t="str">
            <v>Enter</v>
          </cell>
          <cell r="F52">
            <v>0</v>
          </cell>
        </row>
        <row r="55">
          <cell r="A55" t="str">
            <v>None</v>
          </cell>
          <cell r="C55">
            <v>1</v>
          </cell>
          <cell r="D55" t="str">
            <v>None</v>
          </cell>
          <cell r="E55" t="str">
            <v>Post</v>
          </cell>
        </row>
        <row r="56">
          <cell r="A56" t="str">
            <v>2,4-D</v>
          </cell>
          <cell r="B56" t="str">
            <v>pt</v>
          </cell>
          <cell r="C56">
            <v>8</v>
          </cell>
          <cell r="D56" t="str">
            <v>Gallon</v>
          </cell>
          <cell r="E56" t="str">
            <v>Post</v>
          </cell>
          <cell r="F56">
            <v>4</v>
          </cell>
        </row>
        <row r="57">
          <cell r="A57" t="str">
            <v>Accent Q</v>
          </cell>
          <cell r="B57" t="str">
            <v>oz</v>
          </cell>
          <cell r="C57">
            <v>1</v>
          </cell>
          <cell r="D57" t="str">
            <v>Ounce</v>
          </cell>
          <cell r="E57" t="str">
            <v>Post</v>
          </cell>
          <cell r="F57">
            <v>2</v>
          </cell>
        </row>
        <row r="58">
          <cell r="A58" t="str">
            <v>Aim</v>
          </cell>
          <cell r="B58" t="str">
            <v>oz</v>
          </cell>
          <cell r="C58">
            <v>1</v>
          </cell>
          <cell r="D58" t="str">
            <v>Ounce</v>
          </cell>
          <cell r="E58" t="str">
            <v>Post</v>
          </cell>
          <cell r="F58">
            <v>14</v>
          </cell>
        </row>
        <row r="59">
          <cell r="A59" t="str">
            <v>Anthem ATZ</v>
          </cell>
          <cell r="B59" t="str">
            <v>pt</v>
          </cell>
          <cell r="C59">
            <v>8</v>
          </cell>
          <cell r="D59" t="str">
            <v>Gallon</v>
          </cell>
          <cell r="E59" t="str">
            <v>Post Pre-Mix</v>
          </cell>
          <cell r="F59" t="str">
            <v>15/14/5</v>
          </cell>
        </row>
        <row r="60">
          <cell r="A60" t="str">
            <v>Anthem Maxx</v>
          </cell>
          <cell r="B60" t="str">
            <v>oz</v>
          </cell>
          <cell r="C60">
            <v>128</v>
          </cell>
          <cell r="D60" t="str">
            <v>Gallon</v>
          </cell>
          <cell r="E60" t="str">
            <v>Post Pre-Mix</v>
          </cell>
          <cell r="F60" t="str">
            <v>15/14</v>
          </cell>
        </row>
        <row r="61">
          <cell r="A61" t="str">
            <v>Armezon Pro</v>
          </cell>
          <cell r="B61" t="str">
            <v>oz</v>
          </cell>
          <cell r="C61">
            <v>128</v>
          </cell>
          <cell r="D61" t="str">
            <v>Ounce</v>
          </cell>
          <cell r="E61" t="str">
            <v>Post Pre-Mix</v>
          </cell>
          <cell r="F61" t="str">
            <v>15/27</v>
          </cell>
        </row>
        <row r="62">
          <cell r="A62" t="str">
            <v>Armezon/Impact</v>
          </cell>
          <cell r="B62" t="str">
            <v>oz</v>
          </cell>
          <cell r="C62">
            <v>128</v>
          </cell>
          <cell r="D62" t="str">
            <v>Ounce</v>
          </cell>
          <cell r="E62" t="str">
            <v>Post</v>
          </cell>
          <cell r="F62">
            <v>27</v>
          </cell>
        </row>
        <row r="63">
          <cell r="A63" t="str">
            <v>Atrazine (Dry)</v>
          </cell>
          <cell r="B63" t="str">
            <v>lb</v>
          </cell>
          <cell r="C63">
            <v>1</v>
          </cell>
          <cell r="D63" t="str">
            <v>Pound</v>
          </cell>
          <cell r="E63" t="str">
            <v>Post</v>
          </cell>
          <cell r="F63">
            <v>5</v>
          </cell>
        </row>
        <row r="64">
          <cell r="A64" t="str">
            <v>Atrazine (Liquid)</v>
          </cell>
          <cell r="B64" t="str">
            <v>qt</v>
          </cell>
          <cell r="C64">
            <v>4</v>
          </cell>
          <cell r="D64" t="str">
            <v>Gallon</v>
          </cell>
          <cell r="E64" t="str">
            <v>Post</v>
          </cell>
          <cell r="F64">
            <v>5</v>
          </cell>
        </row>
        <row r="65">
          <cell r="A65" t="str">
            <v>Banvel/Clarity</v>
          </cell>
          <cell r="B65" t="str">
            <v>pt</v>
          </cell>
          <cell r="C65">
            <v>8</v>
          </cell>
          <cell r="D65" t="str">
            <v>Gallon</v>
          </cell>
          <cell r="E65" t="str">
            <v>Post</v>
          </cell>
          <cell r="F65">
            <v>4</v>
          </cell>
        </row>
        <row r="66">
          <cell r="A66" t="str">
            <v>Basagran/Broadloom</v>
          </cell>
          <cell r="B66" t="str">
            <v>pt</v>
          </cell>
          <cell r="C66">
            <v>8</v>
          </cell>
          <cell r="D66" t="str">
            <v>Gallon</v>
          </cell>
          <cell r="E66" t="str">
            <v>Post</v>
          </cell>
          <cell r="F66">
            <v>6</v>
          </cell>
        </row>
        <row r="67">
          <cell r="A67" t="str">
            <v>Beacon</v>
          </cell>
          <cell r="B67" t="str">
            <v>oz</v>
          </cell>
          <cell r="C67">
            <v>1</v>
          </cell>
          <cell r="D67" t="str">
            <v>Ounce</v>
          </cell>
          <cell r="E67" t="str">
            <v>Post</v>
          </cell>
          <cell r="F67">
            <v>2</v>
          </cell>
        </row>
        <row r="68">
          <cell r="A68" t="str">
            <v>Buctril/Moxy</v>
          </cell>
          <cell r="B68" t="str">
            <v>pt</v>
          </cell>
          <cell r="C68">
            <v>8</v>
          </cell>
          <cell r="D68" t="str">
            <v>Gallon</v>
          </cell>
          <cell r="E68" t="str">
            <v>Post</v>
          </cell>
          <cell r="F68">
            <v>6</v>
          </cell>
        </row>
        <row r="69">
          <cell r="A69" t="str">
            <v>Cadet</v>
          </cell>
          <cell r="B69" t="str">
            <v>oz</v>
          </cell>
          <cell r="C69">
            <v>128</v>
          </cell>
          <cell r="D69" t="str">
            <v>Quart</v>
          </cell>
          <cell r="E69" t="str">
            <v>Post</v>
          </cell>
          <cell r="F69">
            <v>14</v>
          </cell>
        </row>
        <row r="70">
          <cell r="A70" t="str">
            <v>Callisto</v>
          </cell>
          <cell r="B70" t="str">
            <v>oz</v>
          </cell>
          <cell r="C70">
            <v>128</v>
          </cell>
          <cell r="D70" t="str">
            <v>Gallon</v>
          </cell>
          <cell r="E70" t="str">
            <v>Post</v>
          </cell>
          <cell r="F70">
            <v>27</v>
          </cell>
        </row>
        <row r="71">
          <cell r="A71" t="str">
            <v>Callisto GT</v>
          </cell>
          <cell r="B71" t="str">
            <v>pt</v>
          </cell>
          <cell r="C71">
            <v>8</v>
          </cell>
          <cell r="D71" t="str">
            <v>Gallon</v>
          </cell>
          <cell r="E71" t="str">
            <v>Post Pre-Mix</v>
          </cell>
          <cell r="F71" t="str">
            <v>9/27</v>
          </cell>
        </row>
        <row r="72">
          <cell r="A72" t="str">
            <v>Callisto XTRA</v>
          </cell>
          <cell r="B72" t="str">
            <v>oz</v>
          </cell>
          <cell r="C72">
            <v>128</v>
          </cell>
          <cell r="D72" t="str">
            <v>Gallon</v>
          </cell>
          <cell r="E72" t="str">
            <v>Post Pre-Mix</v>
          </cell>
          <cell r="F72" t="str">
            <v>5/27</v>
          </cell>
        </row>
        <row r="73">
          <cell r="A73" t="str">
            <v>Capreno</v>
          </cell>
          <cell r="B73" t="str">
            <v>oz</v>
          </cell>
          <cell r="C73">
            <v>1</v>
          </cell>
          <cell r="D73" t="str">
            <v>Ounce</v>
          </cell>
          <cell r="E73" t="str">
            <v>Post Pre-Mix</v>
          </cell>
          <cell r="F73" t="str">
            <v>2/27</v>
          </cell>
        </row>
        <row r="74">
          <cell r="A74" t="str">
            <v>DiFlexx</v>
          </cell>
          <cell r="B74" t="str">
            <v>oz</v>
          </cell>
          <cell r="C74">
            <v>128</v>
          </cell>
          <cell r="D74" t="str">
            <v>Gallon</v>
          </cell>
          <cell r="E74" t="str">
            <v>Post</v>
          </cell>
          <cell r="F74">
            <v>4</v>
          </cell>
        </row>
        <row r="75">
          <cell r="A75" t="str">
            <v>DiFlexx Duo</v>
          </cell>
          <cell r="B75" t="str">
            <v>oz</v>
          </cell>
          <cell r="C75">
            <v>128</v>
          </cell>
          <cell r="D75" t="str">
            <v>Gallon</v>
          </cell>
          <cell r="E75" t="str">
            <v>Post Pre-Mix</v>
          </cell>
          <cell r="F75" t="str">
            <v>4/27</v>
          </cell>
        </row>
        <row r="76">
          <cell r="A76" t="str">
            <v>Enlist Duo</v>
          </cell>
          <cell r="B76" t="str">
            <v>pt</v>
          </cell>
          <cell r="C76">
            <v>8</v>
          </cell>
          <cell r="D76" t="str">
            <v>Gallon</v>
          </cell>
          <cell r="E76" t="str">
            <v>Post Pre-Mix</v>
          </cell>
          <cell r="F76" t="str">
            <v>4/9</v>
          </cell>
        </row>
        <row r="77">
          <cell r="A77" t="str">
            <v>Enlist One</v>
          </cell>
          <cell r="B77" t="str">
            <v>pt</v>
          </cell>
          <cell r="C77">
            <v>8</v>
          </cell>
          <cell r="D77" t="str">
            <v>Gallon</v>
          </cell>
          <cell r="E77" t="str">
            <v>Post</v>
          </cell>
          <cell r="F77" t="str">
            <v>4</v>
          </cell>
        </row>
        <row r="78">
          <cell r="A78" t="str">
            <v>Expert</v>
          </cell>
          <cell r="B78" t="str">
            <v>qt</v>
          </cell>
          <cell r="C78">
            <v>4</v>
          </cell>
          <cell r="D78" t="str">
            <v>Gallon</v>
          </cell>
          <cell r="E78" t="str">
            <v>Post Pre-Mix</v>
          </cell>
          <cell r="F78" t="str">
            <v>5/9/15</v>
          </cell>
        </row>
        <row r="79">
          <cell r="A79" t="str">
            <v>Glyphosate</v>
          </cell>
          <cell r="B79" t="str">
            <v>oz</v>
          </cell>
          <cell r="C79">
            <v>128</v>
          </cell>
          <cell r="D79" t="str">
            <v>Gallon</v>
          </cell>
          <cell r="E79" t="str">
            <v>Post</v>
          </cell>
          <cell r="F79">
            <v>9</v>
          </cell>
        </row>
        <row r="80">
          <cell r="A80" t="str">
            <v>Halex GT</v>
          </cell>
          <cell r="B80" t="str">
            <v>pt</v>
          </cell>
          <cell r="C80">
            <v>8</v>
          </cell>
          <cell r="D80" t="str">
            <v>Gallon</v>
          </cell>
          <cell r="E80" t="str">
            <v>Post Pre-Mix</v>
          </cell>
          <cell r="F80" t="str">
            <v>9/15/27</v>
          </cell>
        </row>
        <row r="81">
          <cell r="A81" t="str">
            <v>Hornet WDG/Stanza</v>
          </cell>
          <cell r="B81" t="str">
            <v>oz</v>
          </cell>
          <cell r="C81">
            <v>128</v>
          </cell>
          <cell r="D81" t="str">
            <v>Gallon</v>
          </cell>
          <cell r="E81" t="str">
            <v>Post Pre-Mix</v>
          </cell>
          <cell r="F81" t="str">
            <v>2/4</v>
          </cell>
        </row>
        <row r="82">
          <cell r="A82" t="str">
            <v>ImpactZ</v>
          </cell>
          <cell r="B82" t="str">
            <v>oz</v>
          </cell>
          <cell r="C82">
            <v>128</v>
          </cell>
          <cell r="D82" t="str">
            <v>Gallon</v>
          </cell>
          <cell r="E82" t="str">
            <v>Post Pre-Mix</v>
          </cell>
          <cell r="F82" t="str">
            <v>5/27</v>
          </cell>
        </row>
        <row r="83">
          <cell r="A83" t="str">
            <v>Laudis</v>
          </cell>
          <cell r="B83" t="str">
            <v>oz</v>
          </cell>
          <cell r="C83">
            <v>1</v>
          </cell>
          <cell r="D83" t="str">
            <v>Ounce</v>
          </cell>
          <cell r="E83" t="str">
            <v>Post</v>
          </cell>
          <cell r="F83">
            <v>27</v>
          </cell>
        </row>
        <row r="84">
          <cell r="A84" t="str">
            <v>Liberty</v>
          </cell>
          <cell r="B84" t="str">
            <v>oz</v>
          </cell>
          <cell r="C84">
            <v>128</v>
          </cell>
          <cell r="D84" t="str">
            <v>Gallon</v>
          </cell>
          <cell r="E84" t="str">
            <v>Post</v>
          </cell>
          <cell r="F84">
            <v>10</v>
          </cell>
        </row>
        <row r="85">
          <cell r="A85" t="str">
            <v>Permit</v>
          </cell>
          <cell r="B85" t="str">
            <v>oz</v>
          </cell>
          <cell r="C85">
            <v>16</v>
          </cell>
          <cell r="D85" t="str">
            <v>Pound</v>
          </cell>
          <cell r="E85" t="str">
            <v>Post</v>
          </cell>
          <cell r="F85">
            <v>2</v>
          </cell>
        </row>
        <row r="86">
          <cell r="A86" t="str">
            <v>Realm Q</v>
          </cell>
          <cell r="B86" t="str">
            <v>oz</v>
          </cell>
          <cell r="C86">
            <v>128</v>
          </cell>
          <cell r="D86" t="str">
            <v>Gallon</v>
          </cell>
          <cell r="E86" t="str">
            <v>Post Pre-Mix</v>
          </cell>
          <cell r="F86" t="str">
            <v>2/27</v>
          </cell>
        </row>
        <row r="87">
          <cell r="A87" t="str">
            <v>Resolve Q</v>
          </cell>
          <cell r="B87" t="str">
            <v>oz</v>
          </cell>
          <cell r="C87">
            <v>128</v>
          </cell>
          <cell r="D87" t="str">
            <v>Gallon</v>
          </cell>
          <cell r="E87" t="str">
            <v>Post Pre-Mix</v>
          </cell>
          <cell r="F87" t="str">
            <v>2/2</v>
          </cell>
        </row>
        <row r="88">
          <cell r="A88" t="str">
            <v>Resource</v>
          </cell>
          <cell r="B88" t="str">
            <v>oz</v>
          </cell>
          <cell r="C88">
            <v>128</v>
          </cell>
          <cell r="D88" t="str">
            <v>Gallon</v>
          </cell>
          <cell r="E88" t="str">
            <v>Post</v>
          </cell>
          <cell r="F88">
            <v>14</v>
          </cell>
        </row>
        <row r="89">
          <cell r="A89" t="str">
            <v>Revulin Q</v>
          </cell>
          <cell r="B89" t="str">
            <v>oz</v>
          </cell>
          <cell r="C89">
            <v>128</v>
          </cell>
          <cell r="D89" t="str">
            <v>Gallon</v>
          </cell>
          <cell r="E89" t="str">
            <v>Post Pre-Mix</v>
          </cell>
          <cell r="F89" t="str">
            <v>2/27</v>
          </cell>
        </row>
        <row r="90">
          <cell r="A90" t="str">
            <v>Sequence</v>
          </cell>
          <cell r="B90" t="str">
            <v>pt</v>
          </cell>
          <cell r="C90">
            <v>8</v>
          </cell>
          <cell r="D90" t="str">
            <v>Gallon</v>
          </cell>
          <cell r="E90" t="str">
            <v>Post Pre-Mix</v>
          </cell>
          <cell r="F90" t="str">
            <v>9/15</v>
          </cell>
        </row>
        <row r="91">
          <cell r="A91" t="str">
            <v>Solstice</v>
          </cell>
          <cell r="B91" t="str">
            <v>oz</v>
          </cell>
          <cell r="C91">
            <v>128</v>
          </cell>
          <cell r="D91" t="str">
            <v>Gallon</v>
          </cell>
          <cell r="E91" t="str">
            <v>Post Pre-Mix</v>
          </cell>
          <cell r="F91" t="str">
            <v>14/27</v>
          </cell>
        </row>
        <row r="92">
          <cell r="A92" t="str">
            <v>Status</v>
          </cell>
          <cell r="B92" t="str">
            <v>oz</v>
          </cell>
          <cell r="C92">
            <v>1</v>
          </cell>
          <cell r="D92" t="str">
            <v>Ounce</v>
          </cell>
          <cell r="E92" t="str">
            <v>Post Pre-Mix</v>
          </cell>
          <cell r="F92" t="str">
            <v>4/19</v>
          </cell>
        </row>
        <row r="93">
          <cell r="A93" t="str">
            <v>Steadfast Q</v>
          </cell>
          <cell r="B93" t="str">
            <v>oz</v>
          </cell>
          <cell r="C93">
            <v>128</v>
          </cell>
          <cell r="D93" t="str">
            <v>Gallon</v>
          </cell>
          <cell r="E93" t="str">
            <v>Post Pre-Mix</v>
          </cell>
          <cell r="F93" t="str">
            <v>2/2</v>
          </cell>
        </row>
        <row r="94">
          <cell r="A94" t="str">
            <v>Stinger</v>
          </cell>
          <cell r="B94" t="str">
            <v>oz</v>
          </cell>
          <cell r="C94">
            <v>128</v>
          </cell>
          <cell r="D94" t="str">
            <v>Gallon</v>
          </cell>
          <cell r="E94" t="str">
            <v>Post</v>
          </cell>
          <cell r="F94">
            <v>4</v>
          </cell>
        </row>
        <row r="95">
          <cell r="A95" t="str">
            <v>Yukon</v>
          </cell>
          <cell r="B95" t="str">
            <v>oz</v>
          </cell>
          <cell r="C95">
            <v>128</v>
          </cell>
          <cell r="D95" t="str">
            <v>Gallon</v>
          </cell>
          <cell r="E95" t="str">
            <v>Post Pre-Mix</v>
          </cell>
          <cell r="F95" t="str">
            <v>2/4</v>
          </cell>
        </row>
        <row r="96">
          <cell r="A96" t="str">
            <v>Enter</v>
          </cell>
          <cell r="B96" t="str">
            <v>Enter</v>
          </cell>
          <cell r="C96">
            <v>0</v>
          </cell>
          <cell r="D96" t="str">
            <v>Enter</v>
          </cell>
          <cell r="E96" t="str">
            <v>Enter</v>
          </cell>
          <cell r="F96">
            <v>0</v>
          </cell>
        </row>
        <row r="97">
          <cell r="A97" t="str">
            <v>Enter</v>
          </cell>
          <cell r="B97" t="str">
            <v>Enter</v>
          </cell>
          <cell r="C97">
            <v>0</v>
          </cell>
          <cell r="D97" t="str">
            <v>Enter</v>
          </cell>
          <cell r="E97" t="str">
            <v>Enter</v>
          </cell>
          <cell r="F97">
            <v>0</v>
          </cell>
        </row>
        <row r="98">
          <cell r="A98" t="str">
            <v>Enter</v>
          </cell>
          <cell r="B98" t="str">
            <v>Enter</v>
          </cell>
          <cell r="C98">
            <v>0</v>
          </cell>
          <cell r="D98" t="str">
            <v>Enter</v>
          </cell>
          <cell r="E98" t="str">
            <v>Enter</v>
          </cell>
          <cell r="F98">
            <v>0</v>
          </cell>
        </row>
        <row r="99">
          <cell r="A99" t="str">
            <v>Enter</v>
          </cell>
          <cell r="B99" t="str">
            <v>Enter</v>
          </cell>
          <cell r="C99">
            <v>0</v>
          </cell>
          <cell r="D99" t="str">
            <v>Enter</v>
          </cell>
          <cell r="E99" t="str">
            <v>Enter</v>
          </cell>
          <cell r="F99">
            <v>0</v>
          </cell>
        </row>
        <row r="103">
          <cell r="A103" t="str">
            <v>None</v>
          </cell>
          <cell r="C103">
            <v>1</v>
          </cell>
          <cell r="D103" t="str">
            <v>None</v>
          </cell>
        </row>
        <row r="104">
          <cell r="A104" t="str">
            <v>Ammonium Sulfate</v>
          </cell>
          <cell r="B104" t="str">
            <v>lb</v>
          </cell>
          <cell r="C104">
            <v>1</v>
          </cell>
          <cell r="D104" t="str">
            <v>Pound</v>
          </cell>
        </row>
        <row r="105">
          <cell r="A105" t="str">
            <v>Ammonium Sulfate (Liquid)</v>
          </cell>
          <cell r="B105" t="str">
            <v>pt</v>
          </cell>
          <cell r="C105">
            <v>8</v>
          </cell>
          <cell r="D105" t="str">
            <v>Gallon</v>
          </cell>
        </row>
        <row r="106">
          <cell r="A106" t="str">
            <v>Ammonium Sulfate (Replacement)</v>
          </cell>
          <cell r="B106" t="str">
            <v>pt</v>
          </cell>
          <cell r="C106">
            <v>8</v>
          </cell>
          <cell r="D106" t="str">
            <v>Gallon</v>
          </cell>
        </row>
        <row r="107">
          <cell r="A107" t="str">
            <v>Crop Oil Concentrate</v>
          </cell>
          <cell r="B107" t="str">
            <v>pt</v>
          </cell>
          <cell r="C107">
            <v>8</v>
          </cell>
          <cell r="D107" t="str">
            <v>Gallon</v>
          </cell>
        </row>
        <row r="108">
          <cell r="A108" t="str">
            <v>Drift Agent/Spreader</v>
          </cell>
          <cell r="B108" t="str">
            <v>oz</v>
          </cell>
          <cell r="C108">
            <v>128</v>
          </cell>
          <cell r="D108" t="str">
            <v>Gallon</v>
          </cell>
        </row>
        <row r="109">
          <cell r="A109" t="str">
            <v>Methylated Seed Oil (MSO)</v>
          </cell>
          <cell r="B109" t="str">
            <v>qt</v>
          </cell>
          <cell r="C109">
            <v>4</v>
          </cell>
          <cell r="D109" t="str">
            <v>Gallon</v>
          </cell>
        </row>
        <row r="110">
          <cell r="A110" t="str">
            <v>Enter</v>
          </cell>
          <cell r="B110" t="str">
            <v>Enter</v>
          </cell>
          <cell r="C110">
            <v>0</v>
          </cell>
          <cell r="D110" t="str">
            <v>Enter</v>
          </cell>
        </row>
        <row r="111">
          <cell r="A111" t="str">
            <v>Enter</v>
          </cell>
          <cell r="B111" t="str">
            <v>Enter</v>
          </cell>
          <cell r="C111">
            <v>0</v>
          </cell>
          <cell r="D111" t="str">
            <v>Enter</v>
          </cell>
        </row>
        <row r="112">
          <cell r="A112" t="str">
            <v>Enter</v>
          </cell>
          <cell r="B112" t="str">
            <v>Enter</v>
          </cell>
          <cell r="C112">
            <v>0</v>
          </cell>
          <cell r="D112" t="str">
            <v>Enter</v>
          </cell>
        </row>
        <row r="113">
          <cell r="A113" t="str">
            <v>Enter</v>
          </cell>
          <cell r="B113" t="str">
            <v>Enter</v>
          </cell>
          <cell r="C113">
            <v>0</v>
          </cell>
          <cell r="D113" t="str">
            <v>Enter</v>
          </cell>
        </row>
        <row r="118">
          <cell r="A118" t="str">
            <v>None</v>
          </cell>
          <cell r="C118">
            <v>1</v>
          </cell>
          <cell r="D118" t="str">
            <v>None</v>
          </cell>
        </row>
        <row r="119">
          <cell r="A119" t="str">
            <v>Affiance 1.5 SC</v>
          </cell>
          <cell r="B119" t="str">
            <v>oz</v>
          </cell>
          <cell r="C119">
            <v>128</v>
          </cell>
          <cell r="D119" t="str">
            <v>Gallons</v>
          </cell>
        </row>
        <row r="120">
          <cell r="A120" t="str">
            <v>Aproach 2.08 SC</v>
          </cell>
          <cell r="B120" t="str">
            <v>oz</v>
          </cell>
          <cell r="C120">
            <v>128</v>
          </cell>
          <cell r="D120" t="str">
            <v>Gallons</v>
          </cell>
        </row>
        <row r="121">
          <cell r="A121" t="str">
            <v>Aproach Prima 2.34 SC</v>
          </cell>
          <cell r="B121" t="str">
            <v>oz</v>
          </cell>
          <cell r="C121">
            <v>128</v>
          </cell>
          <cell r="D121" t="str">
            <v>Gallons</v>
          </cell>
        </row>
        <row r="122">
          <cell r="A122" t="str">
            <v>Domark 230 ME</v>
          </cell>
          <cell r="B122" t="str">
            <v>oz</v>
          </cell>
          <cell r="C122">
            <v>128</v>
          </cell>
          <cell r="D122" t="str">
            <v>Gallons</v>
          </cell>
        </row>
        <row r="123">
          <cell r="A123" t="str">
            <v>Folicur 3.6 F</v>
          </cell>
          <cell r="B123" t="str">
            <v>oz</v>
          </cell>
          <cell r="C123">
            <v>128</v>
          </cell>
          <cell r="D123" t="str">
            <v>Gallons</v>
          </cell>
        </row>
        <row r="124">
          <cell r="A124" t="str">
            <v>Fortix/Preemptor 3.22 SC</v>
          </cell>
          <cell r="B124" t="str">
            <v>oz</v>
          </cell>
          <cell r="C124">
            <v>128</v>
          </cell>
          <cell r="D124" t="str">
            <v>Gallons</v>
          </cell>
        </row>
        <row r="125">
          <cell r="A125" t="str">
            <v>Headline 2.09 EC/SC</v>
          </cell>
          <cell r="B125" t="str">
            <v>oz</v>
          </cell>
          <cell r="C125">
            <v>128</v>
          </cell>
          <cell r="D125" t="str">
            <v>Gallons</v>
          </cell>
        </row>
        <row r="126">
          <cell r="A126" t="str">
            <v>Headline AMP 1.68 SC</v>
          </cell>
          <cell r="B126" t="str">
            <v>oz</v>
          </cell>
          <cell r="C126">
            <v>128</v>
          </cell>
          <cell r="D126" t="str">
            <v>Gallons</v>
          </cell>
        </row>
        <row r="127">
          <cell r="A127" t="str">
            <v>Priaxor 4.17 SC</v>
          </cell>
          <cell r="B127" t="str">
            <v>oz</v>
          </cell>
          <cell r="C127">
            <v>128</v>
          </cell>
          <cell r="D127" t="str">
            <v>Gallons</v>
          </cell>
        </row>
        <row r="128">
          <cell r="A128" t="str">
            <v>Proline 480 SC</v>
          </cell>
          <cell r="B128" t="str">
            <v>oz</v>
          </cell>
          <cell r="C128">
            <v>128</v>
          </cell>
          <cell r="D128" t="str">
            <v>Gallons</v>
          </cell>
        </row>
        <row r="129">
          <cell r="A129" t="str">
            <v>Quadris 2.08 SC</v>
          </cell>
          <cell r="B129" t="str">
            <v>oz</v>
          </cell>
          <cell r="C129">
            <v>128</v>
          </cell>
          <cell r="D129" t="str">
            <v>Gallons</v>
          </cell>
        </row>
        <row r="130">
          <cell r="A130" t="str">
            <v>Quilt Xcel 2.2 SE</v>
          </cell>
          <cell r="B130" t="str">
            <v>oz</v>
          </cell>
          <cell r="C130">
            <v>128</v>
          </cell>
          <cell r="D130" t="str">
            <v>Gallons</v>
          </cell>
        </row>
        <row r="131">
          <cell r="A131" t="str">
            <v>Stratego  YLD 4.18 SC</v>
          </cell>
          <cell r="B131" t="str">
            <v>oz</v>
          </cell>
          <cell r="C131">
            <v>128</v>
          </cell>
          <cell r="D131" t="str">
            <v>Gallons</v>
          </cell>
        </row>
        <row r="132">
          <cell r="A132" t="str">
            <v>Tilt 3.6 EC</v>
          </cell>
          <cell r="B132" t="str">
            <v>oz</v>
          </cell>
          <cell r="C132">
            <v>128</v>
          </cell>
          <cell r="D132" t="str">
            <v>Gallons</v>
          </cell>
        </row>
        <row r="133">
          <cell r="A133" t="str">
            <v>Trivapro A 0.83 + Trivapro B 2.2 SE</v>
          </cell>
          <cell r="B133" t="str">
            <v>oz</v>
          </cell>
          <cell r="C133">
            <v>128</v>
          </cell>
          <cell r="D133" t="str">
            <v>Gallons</v>
          </cell>
        </row>
        <row r="134">
          <cell r="A134" t="str">
            <v>Enter</v>
          </cell>
          <cell r="B134" t="str">
            <v>Enter</v>
          </cell>
          <cell r="C134">
            <v>0</v>
          </cell>
          <cell r="D134" t="str">
            <v>Enter</v>
          </cell>
        </row>
        <row r="135">
          <cell r="A135" t="str">
            <v>Enter</v>
          </cell>
          <cell r="B135" t="str">
            <v>Enter</v>
          </cell>
          <cell r="C135">
            <v>0</v>
          </cell>
          <cell r="D135" t="str">
            <v>Enter</v>
          </cell>
        </row>
        <row r="136">
          <cell r="A136" t="str">
            <v>Enter</v>
          </cell>
          <cell r="B136" t="str">
            <v>Enter</v>
          </cell>
          <cell r="C136">
            <v>0</v>
          </cell>
          <cell r="D136" t="str">
            <v>Enter</v>
          </cell>
        </row>
        <row r="137">
          <cell r="A137" t="str">
            <v>Enter</v>
          </cell>
          <cell r="B137" t="str">
            <v>Enter</v>
          </cell>
          <cell r="C137">
            <v>0</v>
          </cell>
          <cell r="D137" t="str">
            <v>Enter</v>
          </cell>
        </row>
        <row r="148">
          <cell r="A148" t="str">
            <v>None</v>
          </cell>
          <cell r="C148">
            <v>1</v>
          </cell>
          <cell r="D148" t="str">
            <v>None</v>
          </cell>
        </row>
        <row r="149">
          <cell r="A149" t="str">
            <v>Ambush 25W</v>
          </cell>
          <cell r="B149" t="str">
            <v>oz</v>
          </cell>
          <cell r="C149">
            <v>1</v>
          </cell>
          <cell r="D149" t="str">
            <v>Gallon</v>
          </cell>
        </row>
        <row r="150">
          <cell r="A150" t="str">
            <v>Arctic 3.2 EC</v>
          </cell>
          <cell r="B150" t="str">
            <v>oz</v>
          </cell>
          <cell r="C150">
            <v>1</v>
          </cell>
          <cell r="D150" t="str">
            <v>Gallon</v>
          </cell>
        </row>
        <row r="151">
          <cell r="A151" t="str">
            <v>Asana XL</v>
          </cell>
          <cell r="B151" t="str">
            <v>oz</v>
          </cell>
          <cell r="C151">
            <v>1</v>
          </cell>
          <cell r="D151" t="str">
            <v>Gallon</v>
          </cell>
        </row>
        <row r="152">
          <cell r="A152" t="str">
            <v>Aztec 2.1G</v>
          </cell>
          <cell r="B152" t="str">
            <v>oz</v>
          </cell>
          <cell r="C152">
            <v>1</v>
          </cell>
          <cell r="D152" t="str">
            <v>Gallon</v>
          </cell>
        </row>
        <row r="153">
          <cell r="A153" t="str">
            <v>Aztec 4.67G</v>
          </cell>
          <cell r="B153" t="str">
            <v>oz</v>
          </cell>
          <cell r="C153">
            <v>1</v>
          </cell>
          <cell r="D153" t="str">
            <v>Gallon</v>
          </cell>
        </row>
        <row r="154">
          <cell r="A154" t="str">
            <v>Baythroid 2 &amp; XL</v>
          </cell>
          <cell r="B154" t="str">
            <v>oz</v>
          </cell>
          <cell r="C154">
            <v>1</v>
          </cell>
          <cell r="D154" t="str">
            <v>Gallon</v>
          </cell>
        </row>
        <row r="155">
          <cell r="A155" t="str">
            <v>Bifenture EC</v>
          </cell>
          <cell r="B155" t="str">
            <v>oz</v>
          </cell>
          <cell r="C155">
            <v>1</v>
          </cell>
          <cell r="D155" t="str">
            <v>Gallon</v>
          </cell>
        </row>
        <row r="156">
          <cell r="A156" t="str">
            <v>Brigade 2EC</v>
          </cell>
          <cell r="B156" t="str">
            <v>oz</v>
          </cell>
          <cell r="C156">
            <v>1</v>
          </cell>
          <cell r="D156" t="str">
            <v>Gallon</v>
          </cell>
        </row>
        <row r="157">
          <cell r="A157" t="str">
            <v>Capture 1.15 G</v>
          </cell>
          <cell r="B157" t="str">
            <v>oz</v>
          </cell>
          <cell r="C157">
            <v>1</v>
          </cell>
          <cell r="D157" t="str">
            <v>Gallon</v>
          </cell>
        </row>
        <row r="158">
          <cell r="A158" t="str">
            <v>Capture 2EC</v>
          </cell>
          <cell r="B158" t="str">
            <v>oz</v>
          </cell>
          <cell r="C158">
            <v>1</v>
          </cell>
          <cell r="D158" t="str">
            <v>Gallon</v>
          </cell>
        </row>
        <row r="159">
          <cell r="A159" t="str">
            <v xml:space="preserve">Capture LFR </v>
          </cell>
          <cell r="B159" t="str">
            <v>oz</v>
          </cell>
          <cell r="C159">
            <v>1</v>
          </cell>
          <cell r="D159" t="str">
            <v>Gallon</v>
          </cell>
        </row>
        <row r="160">
          <cell r="A160" t="str">
            <v>Cobalt</v>
          </cell>
          <cell r="B160" t="str">
            <v>oz</v>
          </cell>
          <cell r="C160">
            <v>1</v>
          </cell>
          <cell r="D160" t="str">
            <v>Gallon</v>
          </cell>
        </row>
        <row r="161">
          <cell r="A161" t="str">
            <v>Comite</v>
          </cell>
          <cell r="B161" t="str">
            <v>pt</v>
          </cell>
          <cell r="C161">
            <v>8</v>
          </cell>
          <cell r="D161" t="str">
            <v>Gallon</v>
          </cell>
        </row>
        <row r="162">
          <cell r="A162" t="str">
            <v>Counter 15G</v>
          </cell>
          <cell r="B162" t="str">
            <v>oz</v>
          </cell>
          <cell r="C162">
            <v>1</v>
          </cell>
          <cell r="D162" t="str">
            <v>Gallon</v>
          </cell>
        </row>
        <row r="163">
          <cell r="A163" t="str">
            <v>Counter CR</v>
          </cell>
          <cell r="B163" t="str">
            <v>oz</v>
          </cell>
          <cell r="C163">
            <v>1</v>
          </cell>
          <cell r="D163" t="str">
            <v>Gallon</v>
          </cell>
        </row>
        <row r="164">
          <cell r="A164" t="str">
            <v>Deadline MPs 4% bait</v>
          </cell>
          <cell r="B164" t="str">
            <v>lb</v>
          </cell>
          <cell r="C164">
            <v>50</v>
          </cell>
          <cell r="D164" t="str">
            <v>Pound</v>
          </cell>
        </row>
        <row r="165">
          <cell r="A165" t="str">
            <v>Dimethoate 267</v>
          </cell>
          <cell r="B165" t="str">
            <v>pt</v>
          </cell>
          <cell r="C165">
            <v>8</v>
          </cell>
          <cell r="D165" t="str">
            <v>Gallon</v>
          </cell>
        </row>
        <row r="166">
          <cell r="A166" t="str">
            <v>Dimethoate 4EC / 400 (5lb)</v>
          </cell>
          <cell r="B166" t="str">
            <v>lb</v>
          </cell>
          <cell r="C166">
            <v>5</v>
          </cell>
          <cell r="D166" t="str">
            <v>Pound</v>
          </cell>
        </row>
        <row r="167">
          <cell r="A167" t="str">
            <v>Dimethoate 4EC / 400 (gal)</v>
          </cell>
          <cell r="B167" t="str">
            <v>pt</v>
          </cell>
          <cell r="C167">
            <v>8</v>
          </cell>
          <cell r="D167" t="str">
            <v>Gallon</v>
          </cell>
        </row>
        <row r="168">
          <cell r="A168" t="str">
            <v>Dimethoate 5lb</v>
          </cell>
          <cell r="B168" t="str">
            <v>oz</v>
          </cell>
          <cell r="C168">
            <v>1</v>
          </cell>
          <cell r="D168" t="str">
            <v>Gallon</v>
          </cell>
        </row>
        <row r="169">
          <cell r="A169" t="str">
            <v>Empower 2</v>
          </cell>
          <cell r="B169" t="str">
            <v>lb</v>
          </cell>
          <cell r="C169">
            <v>1</v>
          </cell>
          <cell r="D169" t="str">
            <v>Pound</v>
          </cell>
        </row>
        <row r="170">
          <cell r="A170" t="str">
            <v xml:space="preserve">Entrust </v>
          </cell>
          <cell r="B170" t="str">
            <v>oz</v>
          </cell>
          <cell r="C170">
            <v>1</v>
          </cell>
          <cell r="D170" t="str">
            <v>Gallon</v>
          </cell>
        </row>
        <row r="171">
          <cell r="A171" t="str">
            <v>Force 3G</v>
          </cell>
          <cell r="B171" t="str">
            <v>oz</v>
          </cell>
          <cell r="C171">
            <v>1</v>
          </cell>
          <cell r="D171" t="str">
            <v>Gallon</v>
          </cell>
        </row>
        <row r="172">
          <cell r="A172" t="str">
            <v>Fortress 5G</v>
          </cell>
          <cell r="B172" t="str">
            <v>oz</v>
          </cell>
          <cell r="C172">
            <v>1</v>
          </cell>
          <cell r="D172" t="str">
            <v>Gallon</v>
          </cell>
        </row>
        <row r="173">
          <cell r="A173" t="str">
            <v>Intrepid 2F</v>
          </cell>
          <cell r="B173" t="str">
            <v>oz</v>
          </cell>
          <cell r="C173">
            <v>1</v>
          </cell>
          <cell r="D173" t="str">
            <v>Gallon</v>
          </cell>
        </row>
        <row r="174">
          <cell r="A174" t="str">
            <v>Lambda-Cy EC</v>
          </cell>
          <cell r="B174" t="str">
            <v>oz</v>
          </cell>
          <cell r="C174">
            <v>1</v>
          </cell>
          <cell r="D174" t="str">
            <v>Gallon</v>
          </cell>
        </row>
        <row r="175">
          <cell r="A175" t="str">
            <v>Lannate LV</v>
          </cell>
          <cell r="B175" t="str">
            <v>pt</v>
          </cell>
          <cell r="C175">
            <v>8</v>
          </cell>
          <cell r="D175" t="str">
            <v>Gallon</v>
          </cell>
        </row>
        <row r="176">
          <cell r="A176" t="str">
            <v xml:space="preserve">Lorsban 15G </v>
          </cell>
          <cell r="B176" t="str">
            <v>oz</v>
          </cell>
          <cell r="C176">
            <v>1</v>
          </cell>
          <cell r="D176" t="str">
            <v>Gallon</v>
          </cell>
        </row>
        <row r="177">
          <cell r="A177" t="str">
            <v>Lorsban 4E &amp; Advanced</v>
          </cell>
          <cell r="B177" t="str">
            <v>pt</v>
          </cell>
          <cell r="C177">
            <v>8</v>
          </cell>
          <cell r="D177" t="str">
            <v>Gallon</v>
          </cell>
        </row>
        <row r="178">
          <cell r="A178" t="str">
            <v>Malathion 5EC, 8F and 8 Aquamul</v>
          </cell>
          <cell r="B178" t="str">
            <v>pt</v>
          </cell>
          <cell r="C178">
            <v>8</v>
          </cell>
          <cell r="D178" t="str">
            <v>Gallon</v>
          </cell>
        </row>
        <row r="179">
          <cell r="A179" t="str">
            <v>Malathion ULV</v>
          </cell>
          <cell r="B179" t="str">
            <v>oz</v>
          </cell>
          <cell r="C179">
            <v>1</v>
          </cell>
          <cell r="D179" t="str">
            <v>Gallon</v>
          </cell>
        </row>
        <row r="180">
          <cell r="A180" t="str">
            <v>Mustang Maxx EC and EW</v>
          </cell>
          <cell r="B180" t="str">
            <v>oz</v>
          </cell>
          <cell r="C180">
            <v>1</v>
          </cell>
          <cell r="D180" t="str">
            <v>Gallon</v>
          </cell>
        </row>
        <row r="181">
          <cell r="A181" t="str">
            <v>Perm-UP 3.2 EC</v>
          </cell>
          <cell r="B181" t="str">
            <v>oz</v>
          </cell>
          <cell r="C181">
            <v>1</v>
          </cell>
          <cell r="D181" t="str">
            <v>Gallon</v>
          </cell>
        </row>
        <row r="182">
          <cell r="A182" t="str">
            <v>Pounce 25 WP</v>
          </cell>
          <cell r="B182" t="str">
            <v>oz</v>
          </cell>
          <cell r="C182">
            <v>1</v>
          </cell>
          <cell r="D182" t="str">
            <v>Gallon</v>
          </cell>
        </row>
        <row r="183">
          <cell r="A183" t="str">
            <v>Pounce 3.2 EC</v>
          </cell>
          <cell r="B183" t="str">
            <v>oz</v>
          </cell>
          <cell r="C183">
            <v>1</v>
          </cell>
          <cell r="D183" t="str">
            <v>Gallon</v>
          </cell>
        </row>
        <row r="184">
          <cell r="A184" t="str">
            <v>Proaxis</v>
          </cell>
          <cell r="B184" t="str">
            <v>oz</v>
          </cell>
          <cell r="C184">
            <v>1</v>
          </cell>
          <cell r="D184" t="str">
            <v>Gallon</v>
          </cell>
        </row>
        <row r="185">
          <cell r="A185" t="str">
            <v xml:space="preserve">Radiant SC </v>
          </cell>
          <cell r="B185" t="str">
            <v>oz</v>
          </cell>
          <cell r="C185">
            <v>1</v>
          </cell>
          <cell r="D185" t="str">
            <v>Gallon</v>
          </cell>
        </row>
        <row r="186">
          <cell r="A186" t="str">
            <v>Regent 4SC</v>
          </cell>
          <cell r="B186" t="str">
            <v>oz</v>
          </cell>
          <cell r="C186">
            <v>1</v>
          </cell>
          <cell r="D186" t="str">
            <v>Gallon</v>
          </cell>
        </row>
        <row r="187">
          <cell r="A187" t="str">
            <v xml:space="preserve">Sevin 4F and XLR Plus </v>
          </cell>
          <cell r="B187" t="str">
            <v>qt</v>
          </cell>
          <cell r="C187">
            <v>4</v>
          </cell>
          <cell r="D187" t="str">
            <v>Gallon</v>
          </cell>
        </row>
        <row r="188">
          <cell r="A188" t="str">
            <v>Sevin 80S and 80WSP</v>
          </cell>
          <cell r="B188" t="str">
            <v>lb</v>
          </cell>
          <cell r="C188">
            <v>1</v>
          </cell>
          <cell r="D188" t="str">
            <v>Pound</v>
          </cell>
        </row>
        <row r="189">
          <cell r="A189" t="str">
            <v>Silencer</v>
          </cell>
          <cell r="B189" t="str">
            <v>oz</v>
          </cell>
          <cell r="C189">
            <v>1</v>
          </cell>
          <cell r="D189" t="str">
            <v>Gallon</v>
          </cell>
        </row>
        <row r="190">
          <cell r="A190" t="str">
            <v>Warrior</v>
          </cell>
          <cell r="B190" t="str">
            <v>oz</v>
          </cell>
          <cell r="C190">
            <v>1</v>
          </cell>
          <cell r="D190" t="str">
            <v>Gallon</v>
          </cell>
        </row>
        <row r="191">
          <cell r="A191" t="str">
            <v>Enter</v>
          </cell>
          <cell r="B191" t="str">
            <v>Enter</v>
          </cell>
          <cell r="C191">
            <v>0</v>
          </cell>
          <cell r="D191" t="str">
            <v>Enter</v>
          </cell>
        </row>
        <row r="192">
          <cell r="A192" t="str">
            <v>Enter</v>
          </cell>
          <cell r="B192" t="str">
            <v>Enter</v>
          </cell>
          <cell r="C192">
            <v>0</v>
          </cell>
          <cell r="D192" t="str">
            <v>Enter</v>
          </cell>
        </row>
        <row r="193">
          <cell r="A193" t="str">
            <v>Enter</v>
          </cell>
          <cell r="B193" t="str">
            <v>Enter</v>
          </cell>
          <cell r="C193">
            <v>0</v>
          </cell>
          <cell r="D193" t="str">
            <v>Enter</v>
          </cell>
        </row>
        <row r="194">
          <cell r="A194" t="str">
            <v>Enter</v>
          </cell>
          <cell r="B194" t="str">
            <v>Enter</v>
          </cell>
          <cell r="C194">
            <v>0</v>
          </cell>
          <cell r="D194" t="str">
            <v>Enter</v>
          </cell>
        </row>
      </sheetData>
      <sheetData sheetId="17">
        <row r="4">
          <cell r="A4" t="str">
            <v>None</v>
          </cell>
          <cell r="C4">
            <v>1</v>
          </cell>
          <cell r="D4" t="str">
            <v>None</v>
          </cell>
          <cell r="E4" t="str">
            <v>None</v>
          </cell>
        </row>
        <row r="5">
          <cell r="A5" t="str">
            <v>Afforia</v>
          </cell>
          <cell r="B5" t="str">
            <v>oz</v>
          </cell>
          <cell r="C5">
            <v>16</v>
          </cell>
          <cell r="D5" t="str">
            <v>Pound</v>
          </cell>
          <cell r="E5" t="str">
            <v>Soil Premix</v>
          </cell>
          <cell r="F5" t="str">
            <v>2/2/14</v>
          </cell>
        </row>
        <row r="6">
          <cell r="A6" t="str">
            <v>Anthem Maxx</v>
          </cell>
          <cell r="B6" t="str">
            <v>oz</v>
          </cell>
          <cell r="C6">
            <v>128</v>
          </cell>
          <cell r="D6" t="str">
            <v>Ounce</v>
          </cell>
          <cell r="E6" t="str">
            <v>Soil Premix</v>
          </cell>
          <cell r="F6" t="str">
            <v>14/15</v>
          </cell>
        </row>
        <row r="7">
          <cell r="A7" t="str">
            <v>Authority Assist</v>
          </cell>
          <cell r="B7" t="str">
            <v>oz</v>
          </cell>
          <cell r="C7">
            <v>128</v>
          </cell>
          <cell r="D7" t="str">
            <v>Ounce</v>
          </cell>
          <cell r="E7" t="str">
            <v>Soil Premix</v>
          </cell>
          <cell r="F7" t="str">
            <v>2/14</v>
          </cell>
        </row>
        <row r="8">
          <cell r="A8" t="str">
            <v>Authority Elite/Broadaxe XC</v>
          </cell>
          <cell r="B8" t="str">
            <v>oz</v>
          </cell>
          <cell r="C8">
            <v>128</v>
          </cell>
          <cell r="D8" t="str">
            <v>Gallon</v>
          </cell>
          <cell r="E8" t="str">
            <v>Soil</v>
          </cell>
          <cell r="F8" t="str">
            <v>14/15</v>
          </cell>
        </row>
        <row r="9">
          <cell r="A9" t="str">
            <v>Authority First/Sonic</v>
          </cell>
          <cell r="B9" t="str">
            <v>oz</v>
          </cell>
          <cell r="C9">
            <v>16</v>
          </cell>
          <cell r="D9" t="str">
            <v>Pound</v>
          </cell>
          <cell r="E9" t="str">
            <v>Soil Premix</v>
          </cell>
          <cell r="F9" t="str">
            <v>2/14</v>
          </cell>
        </row>
        <row r="10">
          <cell r="A10" t="str">
            <v>Authority Maxx</v>
          </cell>
          <cell r="B10" t="str">
            <v>oz</v>
          </cell>
          <cell r="C10">
            <v>16</v>
          </cell>
          <cell r="D10" t="str">
            <v>Pound</v>
          </cell>
          <cell r="E10" t="str">
            <v>Soil Premix</v>
          </cell>
          <cell r="F10" t="str">
            <v>2/14</v>
          </cell>
        </row>
        <row r="11">
          <cell r="A11" t="str">
            <v>Authority MTZ</v>
          </cell>
          <cell r="B11" t="str">
            <v>oz</v>
          </cell>
          <cell r="C11">
            <v>16</v>
          </cell>
          <cell r="D11" t="str">
            <v>Pound</v>
          </cell>
          <cell r="E11" t="str">
            <v>Soil Premix</v>
          </cell>
          <cell r="F11" t="str">
            <v>5/14</v>
          </cell>
        </row>
        <row r="12">
          <cell r="A12" t="str">
            <v>Authority Supreme</v>
          </cell>
          <cell r="B12" t="str">
            <v>oz</v>
          </cell>
          <cell r="C12">
            <v>16</v>
          </cell>
          <cell r="D12" t="str">
            <v>Pound</v>
          </cell>
          <cell r="E12" t="str">
            <v>Soil Premix</v>
          </cell>
          <cell r="F12" t="str">
            <v>14/15</v>
          </cell>
        </row>
        <row r="13">
          <cell r="A13" t="str">
            <v>Authority XL</v>
          </cell>
          <cell r="B13" t="str">
            <v>oz</v>
          </cell>
          <cell r="C13">
            <v>16</v>
          </cell>
          <cell r="D13" t="str">
            <v>Pound</v>
          </cell>
          <cell r="E13" t="str">
            <v>Soil Premix</v>
          </cell>
          <cell r="F13" t="str">
            <v>2/14</v>
          </cell>
        </row>
        <row r="14">
          <cell r="A14" t="str">
            <v>Boundary</v>
          </cell>
          <cell r="B14" t="str">
            <v>pt</v>
          </cell>
          <cell r="C14">
            <v>8</v>
          </cell>
          <cell r="D14" t="str">
            <v>Gallon</v>
          </cell>
          <cell r="E14" t="str">
            <v>Soil Premix</v>
          </cell>
          <cell r="F14" t="str">
            <v>5/15</v>
          </cell>
        </row>
        <row r="15">
          <cell r="A15" t="str">
            <v>Canopy/Canopy Blend</v>
          </cell>
          <cell r="B15" t="str">
            <v>oz</v>
          </cell>
          <cell r="C15">
            <v>128</v>
          </cell>
          <cell r="D15" t="str">
            <v>Ounce</v>
          </cell>
          <cell r="E15" t="str">
            <v>Soil Premix</v>
          </cell>
          <cell r="F15" t="str">
            <v>2/2</v>
          </cell>
        </row>
        <row r="16">
          <cell r="A16" t="str">
            <v>Command 3ME</v>
          </cell>
          <cell r="B16" t="str">
            <v>pt</v>
          </cell>
          <cell r="C16">
            <v>8</v>
          </cell>
          <cell r="D16" t="str">
            <v>Gallon</v>
          </cell>
          <cell r="E16" t="str">
            <v>Soil</v>
          </cell>
          <cell r="F16" t="str">
            <v>13</v>
          </cell>
        </row>
        <row r="17">
          <cell r="A17" t="str">
            <v>Dual Magnum/Everprex/Parallel</v>
          </cell>
          <cell r="B17" t="str">
            <v>pt</v>
          </cell>
          <cell r="C17">
            <v>8</v>
          </cell>
          <cell r="D17" t="str">
            <v>Gallon</v>
          </cell>
          <cell r="E17" t="str">
            <v>Soil</v>
          </cell>
          <cell r="F17" t="str">
            <v>15</v>
          </cell>
        </row>
        <row r="18">
          <cell r="A18" t="str">
            <v>Enlist One</v>
          </cell>
          <cell r="B18" t="str">
            <v>pt</v>
          </cell>
          <cell r="C18">
            <v>8</v>
          </cell>
          <cell r="D18" t="str">
            <v>Gallon</v>
          </cell>
          <cell r="E18" t="str">
            <v>Post</v>
          </cell>
          <cell r="F18" t="str">
            <v>4</v>
          </cell>
        </row>
        <row r="19">
          <cell r="A19" t="str">
            <v>Enlist Duo</v>
          </cell>
          <cell r="B19" t="str">
            <v>pt</v>
          </cell>
          <cell r="C19">
            <v>8</v>
          </cell>
          <cell r="D19" t="str">
            <v>Gallon</v>
          </cell>
          <cell r="E19" t="str">
            <v>Post</v>
          </cell>
          <cell r="F19" t="str">
            <v>4/9</v>
          </cell>
        </row>
        <row r="20">
          <cell r="A20" t="str">
            <v>Engenia</v>
          </cell>
          <cell r="B20" t="str">
            <v>oz</v>
          </cell>
          <cell r="C20">
            <v>128</v>
          </cell>
          <cell r="D20" t="str">
            <v>Gallon</v>
          </cell>
          <cell r="E20" t="str">
            <v>Soil</v>
          </cell>
          <cell r="F20" t="str">
            <v>4</v>
          </cell>
        </row>
        <row r="21">
          <cell r="A21" t="str">
            <v>Envive</v>
          </cell>
          <cell r="B21" t="str">
            <v>oz</v>
          </cell>
          <cell r="C21">
            <v>16</v>
          </cell>
          <cell r="D21" t="str">
            <v>Pound</v>
          </cell>
          <cell r="E21" t="str">
            <v>Soil Premix</v>
          </cell>
          <cell r="F21" t="str">
            <v>2/2/14</v>
          </cell>
        </row>
        <row r="22">
          <cell r="A22" t="str">
            <v>Fierce</v>
          </cell>
          <cell r="B22" t="str">
            <v>oz</v>
          </cell>
          <cell r="C22">
            <v>16</v>
          </cell>
          <cell r="D22" t="str">
            <v>Pound</v>
          </cell>
          <cell r="E22" t="str">
            <v>Soil Premix</v>
          </cell>
          <cell r="F22" t="str">
            <v>14/15</v>
          </cell>
        </row>
        <row r="23">
          <cell r="A23" t="str">
            <v>Fierce XLT</v>
          </cell>
          <cell r="B23" t="str">
            <v>oz</v>
          </cell>
          <cell r="C23">
            <v>16</v>
          </cell>
          <cell r="D23" t="str">
            <v>Pound</v>
          </cell>
          <cell r="E23" t="str">
            <v>Soil Premix</v>
          </cell>
          <cell r="F23" t="str">
            <v>2/14/15</v>
          </cell>
        </row>
        <row r="24">
          <cell r="A24" t="str">
            <v>Firstrate</v>
          </cell>
          <cell r="B24" t="str">
            <v>oz</v>
          </cell>
          <cell r="C24">
            <v>16</v>
          </cell>
          <cell r="D24" t="str">
            <v>Pound</v>
          </cell>
          <cell r="E24" t="str">
            <v>Soil</v>
          </cell>
          <cell r="F24" t="str">
            <v>2</v>
          </cell>
        </row>
        <row r="25">
          <cell r="A25" t="str">
            <v>Flexstar GT 3.5</v>
          </cell>
          <cell r="B25" t="str">
            <v>pt</v>
          </cell>
          <cell r="C25">
            <v>8</v>
          </cell>
          <cell r="D25" t="str">
            <v>Gallon</v>
          </cell>
          <cell r="E25" t="str">
            <v>Soil Premix</v>
          </cell>
          <cell r="F25" t="str">
            <v>9/14</v>
          </cell>
        </row>
        <row r="26">
          <cell r="A26" t="str">
            <v>Glyphosate</v>
          </cell>
          <cell r="B26" t="str">
            <v>oz</v>
          </cell>
          <cell r="C26">
            <v>128</v>
          </cell>
          <cell r="D26" t="str">
            <v>Gallon</v>
          </cell>
          <cell r="E26" t="str">
            <v>Post</v>
          </cell>
          <cell r="F26">
            <v>9</v>
          </cell>
        </row>
        <row r="27">
          <cell r="A27" t="str">
            <v>Lorox/Linex</v>
          </cell>
          <cell r="B27" t="str">
            <v>lb</v>
          </cell>
          <cell r="C27">
            <v>1</v>
          </cell>
          <cell r="D27" t="str">
            <v>Pound</v>
          </cell>
          <cell r="E27" t="str">
            <v>Soil</v>
          </cell>
          <cell r="F27" t="str">
            <v>7</v>
          </cell>
        </row>
        <row r="28">
          <cell r="A28" t="str">
            <v>Metribuzin</v>
          </cell>
          <cell r="B28" t="str">
            <v>oz</v>
          </cell>
          <cell r="C28">
            <v>16</v>
          </cell>
          <cell r="D28" t="str">
            <v>Pound</v>
          </cell>
          <cell r="E28" t="str">
            <v>Soil</v>
          </cell>
          <cell r="F28" t="str">
            <v>5</v>
          </cell>
        </row>
        <row r="29">
          <cell r="A29" t="str">
            <v>Moccasin MITZ</v>
          </cell>
          <cell r="B29" t="str">
            <v>pt</v>
          </cell>
          <cell r="C29">
            <v>8</v>
          </cell>
          <cell r="D29" t="str">
            <v>Gallon</v>
          </cell>
          <cell r="E29" t="str">
            <v>Soil Premix</v>
          </cell>
          <cell r="F29" t="str">
            <v>5/15</v>
          </cell>
        </row>
        <row r="30">
          <cell r="A30" t="str">
            <v>Optill</v>
          </cell>
          <cell r="B30" t="str">
            <v>oz</v>
          </cell>
          <cell r="C30">
            <v>16</v>
          </cell>
          <cell r="D30" t="str">
            <v>Pound</v>
          </cell>
          <cell r="E30" t="str">
            <v>Soil Premix</v>
          </cell>
          <cell r="F30" t="str">
            <v>2/14</v>
          </cell>
        </row>
        <row r="31">
          <cell r="A31" t="str">
            <v>Outlook</v>
          </cell>
          <cell r="B31" t="str">
            <v>oz</v>
          </cell>
          <cell r="C31">
            <v>128</v>
          </cell>
          <cell r="D31" t="str">
            <v>Gallon</v>
          </cell>
          <cell r="E31" t="str">
            <v>Soil</v>
          </cell>
          <cell r="F31" t="str">
            <v>15</v>
          </cell>
        </row>
        <row r="32">
          <cell r="A32" t="str">
            <v>Prefix</v>
          </cell>
          <cell r="B32" t="str">
            <v>pt</v>
          </cell>
          <cell r="C32">
            <v>8</v>
          </cell>
          <cell r="D32" t="str">
            <v>Gallon</v>
          </cell>
          <cell r="E32" t="str">
            <v>Soil Premix</v>
          </cell>
          <cell r="F32" t="str">
            <v>14/15</v>
          </cell>
        </row>
        <row r="33">
          <cell r="A33" t="str">
            <v>Prowl H20/Prowl</v>
          </cell>
          <cell r="B33" t="str">
            <v>pt</v>
          </cell>
          <cell r="C33">
            <v>8</v>
          </cell>
          <cell r="D33" t="str">
            <v>Gallon</v>
          </cell>
          <cell r="E33" t="str">
            <v>Soil</v>
          </cell>
          <cell r="F33" t="str">
            <v>2</v>
          </cell>
        </row>
        <row r="34">
          <cell r="A34" t="str">
            <v>Python/Accolade</v>
          </cell>
          <cell r="B34" t="str">
            <v>oz</v>
          </cell>
          <cell r="C34">
            <v>16</v>
          </cell>
          <cell r="D34" t="str">
            <v>Pound</v>
          </cell>
          <cell r="E34" t="str">
            <v>Soil</v>
          </cell>
          <cell r="F34" t="str">
            <v>2</v>
          </cell>
        </row>
        <row r="35">
          <cell r="A35" t="str">
            <v>Sonalan (PPI Only)</v>
          </cell>
          <cell r="B35" t="str">
            <v>pt</v>
          </cell>
          <cell r="C35">
            <v>8</v>
          </cell>
          <cell r="D35" t="str">
            <v>Gallon</v>
          </cell>
          <cell r="E35" t="str">
            <v>Soil</v>
          </cell>
          <cell r="F35" t="str">
            <v>3</v>
          </cell>
        </row>
        <row r="36">
          <cell r="A36" t="str">
            <v>Spartan</v>
          </cell>
          <cell r="B36" t="str">
            <v>oz</v>
          </cell>
          <cell r="C36">
            <v>128</v>
          </cell>
          <cell r="D36" t="str">
            <v>Gallon</v>
          </cell>
          <cell r="E36" t="str">
            <v>Soil</v>
          </cell>
          <cell r="F36" t="str">
            <v>14</v>
          </cell>
        </row>
        <row r="37">
          <cell r="A37" t="str">
            <v>Spartan Charge</v>
          </cell>
          <cell r="B37" t="str">
            <v>oz</v>
          </cell>
          <cell r="C37">
            <v>128</v>
          </cell>
          <cell r="D37" t="str">
            <v>Gallon</v>
          </cell>
          <cell r="E37" t="str">
            <v>Soil Premix</v>
          </cell>
          <cell r="F37" t="str">
            <v>14/14</v>
          </cell>
        </row>
        <row r="38">
          <cell r="A38" t="str">
            <v>Surveil</v>
          </cell>
          <cell r="B38" t="str">
            <v>oz</v>
          </cell>
          <cell r="C38">
            <v>16</v>
          </cell>
          <cell r="D38" t="str">
            <v>Pound</v>
          </cell>
          <cell r="E38" t="str">
            <v>Soil Premix</v>
          </cell>
          <cell r="F38" t="str">
            <v>2/14</v>
          </cell>
        </row>
        <row r="39">
          <cell r="A39" t="str">
            <v>Synchrony XP</v>
          </cell>
          <cell r="B39" t="str">
            <v>oz</v>
          </cell>
          <cell r="C39">
            <v>16</v>
          </cell>
          <cell r="D39" t="str">
            <v>Pound</v>
          </cell>
          <cell r="E39" t="str">
            <v>Soil Premix</v>
          </cell>
          <cell r="F39" t="str">
            <v>2/2</v>
          </cell>
        </row>
        <row r="40">
          <cell r="A40" t="str">
            <v>Trifluralin (PPI Only)</v>
          </cell>
          <cell r="B40" t="str">
            <v>pt</v>
          </cell>
          <cell r="C40">
            <v>8</v>
          </cell>
          <cell r="D40" t="str">
            <v>Gallon</v>
          </cell>
          <cell r="E40" t="str">
            <v>Soil</v>
          </cell>
          <cell r="F40" t="str">
            <v>3</v>
          </cell>
        </row>
        <row r="41">
          <cell r="A41" t="str">
            <v>Tripzin ZC</v>
          </cell>
          <cell r="B41" t="str">
            <v>oz</v>
          </cell>
          <cell r="C41">
            <v>128</v>
          </cell>
          <cell r="D41" t="str">
            <v>Gallon</v>
          </cell>
          <cell r="E41" t="str">
            <v>Soil Premix</v>
          </cell>
          <cell r="F41" t="str">
            <v>3/5</v>
          </cell>
        </row>
        <row r="42">
          <cell r="A42" t="str">
            <v>Trivence</v>
          </cell>
          <cell r="B42" t="str">
            <v>oz</v>
          </cell>
          <cell r="C42">
            <v>16</v>
          </cell>
          <cell r="D42" t="str">
            <v>Pound</v>
          </cell>
          <cell r="E42" t="str">
            <v>Soil Premix</v>
          </cell>
          <cell r="F42" t="str">
            <v>2/5/14</v>
          </cell>
        </row>
        <row r="43">
          <cell r="A43" t="str">
            <v>Valor XLT/Rowl FX</v>
          </cell>
          <cell r="B43" t="str">
            <v>oz</v>
          </cell>
          <cell r="C43">
            <v>16</v>
          </cell>
          <cell r="D43" t="str">
            <v>Pound</v>
          </cell>
          <cell r="E43" t="str">
            <v>Soil Premix</v>
          </cell>
          <cell r="F43" t="str">
            <v>2/14</v>
          </cell>
        </row>
        <row r="44">
          <cell r="A44" t="str">
            <v>Valor/Valor EZ/Rowel</v>
          </cell>
          <cell r="B44" t="str">
            <v>oz</v>
          </cell>
          <cell r="C44">
            <v>128</v>
          </cell>
          <cell r="D44" t="str">
            <v>Gallon</v>
          </cell>
          <cell r="E44" t="str">
            <v>Soil</v>
          </cell>
          <cell r="F44" t="str">
            <v>14</v>
          </cell>
        </row>
        <row r="45">
          <cell r="A45" t="str">
            <v>Verdict</v>
          </cell>
          <cell r="B45" t="str">
            <v>oz</v>
          </cell>
          <cell r="C45">
            <v>128</v>
          </cell>
          <cell r="D45" t="str">
            <v>Gallon</v>
          </cell>
          <cell r="E45" t="str">
            <v>Soil Premix</v>
          </cell>
          <cell r="F45" t="str">
            <v>14/15</v>
          </cell>
        </row>
        <row r="46">
          <cell r="A46" t="str">
            <v>Warrant</v>
          </cell>
          <cell r="B46" t="str">
            <v>pt</v>
          </cell>
          <cell r="C46">
            <v>8</v>
          </cell>
          <cell r="D46" t="str">
            <v>Gallon</v>
          </cell>
          <cell r="E46" t="str">
            <v>Soil</v>
          </cell>
          <cell r="F46" t="str">
            <v>9</v>
          </cell>
        </row>
        <row r="47">
          <cell r="A47" t="str">
            <v>Warrant Ultra</v>
          </cell>
          <cell r="B47" t="str">
            <v>oz</v>
          </cell>
          <cell r="C47">
            <v>128</v>
          </cell>
          <cell r="D47" t="str">
            <v>Gallon</v>
          </cell>
          <cell r="E47" t="str">
            <v>Soil Premix</v>
          </cell>
          <cell r="F47" t="str">
            <v>14/15</v>
          </cell>
        </row>
        <row r="48">
          <cell r="A48" t="str">
            <v>Xtendimax/Fexapan</v>
          </cell>
          <cell r="B48" t="str">
            <v>oz</v>
          </cell>
          <cell r="C48">
            <v>128</v>
          </cell>
          <cell r="D48" t="str">
            <v>Gallon</v>
          </cell>
          <cell r="E48" t="str">
            <v>Soil</v>
          </cell>
          <cell r="F48" t="str">
            <v>4</v>
          </cell>
        </row>
        <row r="49">
          <cell r="A49" t="str">
            <v>Zidua</v>
          </cell>
          <cell r="B49" t="str">
            <v>oz</v>
          </cell>
          <cell r="C49">
            <v>1</v>
          </cell>
          <cell r="D49" t="str">
            <v>Gallon</v>
          </cell>
          <cell r="E49" t="str">
            <v>Soil</v>
          </cell>
          <cell r="F49" t="str">
            <v>15</v>
          </cell>
        </row>
        <row r="50">
          <cell r="A50" t="str">
            <v>Zidua Pro</v>
          </cell>
          <cell r="B50" t="str">
            <v>oz</v>
          </cell>
          <cell r="C50">
            <v>128</v>
          </cell>
          <cell r="D50" t="str">
            <v>Gallon</v>
          </cell>
          <cell r="E50" t="str">
            <v>Soil Premix</v>
          </cell>
          <cell r="F50" t="str">
            <v>2/14/15</v>
          </cell>
        </row>
        <row r="51">
          <cell r="A51" t="str">
            <v>Enter</v>
          </cell>
          <cell r="B51" t="str">
            <v>Enter</v>
          </cell>
          <cell r="C51">
            <v>0</v>
          </cell>
          <cell r="D51" t="str">
            <v>Enter</v>
          </cell>
          <cell r="E51" t="str">
            <v>Enter</v>
          </cell>
          <cell r="F51">
            <v>0</v>
          </cell>
        </row>
        <row r="52">
          <cell r="A52" t="str">
            <v>Enter</v>
          </cell>
          <cell r="B52" t="str">
            <v>Enter</v>
          </cell>
          <cell r="C52">
            <v>0</v>
          </cell>
          <cell r="D52" t="str">
            <v>Enter</v>
          </cell>
          <cell r="E52" t="str">
            <v>Enter</v>
          </cell>
          <cell r="F52">
            <v>0</v>
          </cell>
        </row>
        <row r="53">
          <cell r="A53" t="str">
            <v>Enter</v>
          </cell>
          <cell r="B53" t="str">
            <v>Enter</v>
          </cell>
          <cell r="C53">
            <v>0</v>
          </cell>
          <cell r="D53" t="str">
            <v>Enter</v>
          </cell>
          <cell r="E53" t="str">
            <v>Enter</v>
          </cell>
          <cell r="F53">
            <v>0</v>
          </cell>
        </row>
        <row r="54">
          <cell r="A54" t="str">
            <v>Enter</v>
          </cell>
          <cell r="B54" t="str">
            <v>Enter</v>
          </cell>
          <cell r="C54">
            <v>0</v>
          </cell>
          <cell r="D54" t="str">
            <v>Enter</v>
          </cell>
          <cell r="E54" t="str">
            <v>Enter</v>
          </cell>
          <cell r="F54">
            <v>0</v>
          </cell>
        </row>
        <row r="57">
          <cell r="A57" t="str">
            <v>None</v>
          </cell>
          <cell r="C57">
            <v>1</v>
          </cell>
          <cell r="D57" t="str">
            <v>None</v>
          </cell>
          <cell r="E57" t="str">
            <v>Post</v>
          </cell>
        </row>
        <row r="58">
          <cell r="A58" t="str">
            <v>Anthem Maxx</v>
          </cell>
          <cell r="B58" t="str">
            <v>oz</v>
          </cell>
          <cell r="C58">
            <v>128</v>
          </cell>
          <cell r="D58" t="str">
            <v>Gallon</v>
          </cell>
          <cell r="E58" t="str">
            <v>Post</v>
          </cell>
          <cell r="F58" t="str">
            <v>14/15</v>
          </cell>
        </row>
        <row r="59">
          <cell r="A59" t="str">
            <v>Assure II/Targa</v>
          </cell>
          <cell r="B59" t="str">
            <v>oz</v>
          </cell>
          <cell r="C59">
            <v>128</v>
          </cell>
          <cell r="D59" t="str">
            <v>Gallon</v>
          </cell>
          <cell r="E59" t="str">
            <v>Post</v>
          </cell>
          <cell r="F59">
            <v>1</v>
          </cell>
        </row>
        <row r="60">
          <cell r="A60" t="str">
            <v>Basagran/Broadloom</v>
          </cell>
          <cell r="B60" t="str">
            <v>pt</v>
          </cell>
          <cell r="C60">
            <v>8</v>
          </cell>
          <cell r="D60" t="str">
            <v>Gallon</v>
          </cell>
          <cell r="E60" t="str">
            <v>Post</v>
          </cell>
          <cell r="F60">
            <v>6</v>
          </cell>
        </row>
        <row r="61">
          <cell r="A61" t="str">
            <v>Cadet</v>
          </cell>
          <cell r="B61" t="str">
            <v>oz</v>
          </cell>
          <cell r="C61">
            <v>16</v>
          </cell>
          <cell r="D61" t="str">
            <v>Pound</v>
          </cell>
          <cell r="E61" t="str">
            <v>Post</v>
          </cell>
          <cell r="F61">
            <v>14</v>
          </cell>
        </row>
        <row r="62">
          <cell r="A62" t="str">
            <v>Cheetah Max</v>
          </cell>
          <cell r="B62" t="str">
            <v>qt</v>
          </cell>
          <cell r="C62">
            <v>4</v>
          </cell>
          <cell r="D62" t="str">
            <v>Gallon</v>
          </cell>
          <cell r="E62" t="str">
            <v>Post</v>
          </cell>
          <cell r="F62" t="str">
            <v>10/14</v>
          </cell>
        </row>
        <row r="63">
          <cell r="A63" t="str">
            <v>Classic</v>
          </cell>
          <cell r="B63" t="str">
            <v>oz</v>
          </cell>
          <cell r="C63">
            <v>16</v>
          </cell>
          <cell r="D63" t="str">
            <v>Pound</v>
          </cell>
          <cell r="E63" t="str">
            <v>Post</v>
          </cell>
          <cell r="F63">
            <v>2</v>
          </cell>
        </row>
        <row r="64">
          <cell r="A64" t="str">
            <v>Cobra</v>
          </cell>
          <cell r="B64" t="str">
            <v>oz</v>
          </cell>
          <cell r="C64">
            <v>128</v>
          </cell>
          <cell r="D64" t="str">
            <v>Gallon</v>
          </cell>
          <cell r="E64" t="str">
            <v>Post</v>
          </cell>
          <cell r="F64">
            <v>14</v>
          </cell>
        </row>
        <row r="65">
          <cell r="A65" t="str">
            <v>Engenia</v>
          </cell>
          <cell r="B65" t="str">
            <v>oz</v>
          </cell>
          <cell r="C65">
            <v>128</v>
          </cell>
          <cell r="D65" t="str">
            <v>Gallon</v>
          </cell>
          <cell r="E65" t="str">
            <v>Post</v>
          </cell>
          <cell r="F65" t="str">
            <v>4</v>
          </cell>
        </row>
        <row r="66">
          <cell r="A66" t="str">
            <v>Enlist One</v>
          </cell>
          <cell r="B66" t="str">
            <v>pt</v>
          </cell>
          <cell r="C66">
            <v>8</v>
          </cell>
          <cell r="D66" t="str">
            <v>Gallon</v>
          </cell>
          <cell r="E66" t="str">
            <v>Post</v>
          </cell>
          <cell r="F66" t="str">
            <v>4</v>
          </cell>
        </row>
        <row r="67">
          <cell r="A67" t="str">
            <v>Enlist Duo</v>
          </cell>
          <cell r="B67" t="str">
            <v>pt</v>
          </cell>
          <cell r="C67">
            <v>8</v>
          </cell>
          <cell r="D67" t="str">
            <v>Gallon</v>
          </cell>
          <cell r="E67" t="str">
            <v>Post</v>
          </cell>
          <cell r="F67" t="str">
            <v>4/9</v>
          </cell>
        </row>
        <row r="68">
          <cell r="A68" t="str">
            <v>Firstrate</v>
          </cell>
          <cell r="B68" t="str">
            <v>oz</v>
          </cell>
          <cell r="C68">
            <v>16</v>
          </cell>
          <cell r="D68" t="str">
            <v>Pound</v>
          </cell>
          <cell r="E68" t="str">
            <v>Post</v>
          </cell>
          <cell r="F68">
            <v>2</v>
          </cell>
        </row>
        <row r="69">
          <cell r="A69" t="str">
            <v>Flexstar</v>
          </cell>
          <cell r="B69" t="str">
            <v>pt</v>
          </cell>
          <cell r="C69">
            <v>8</v>
          </cell>
          <cell r="D69" t="str">
            <v>Gallon</v>
          </cell>
          <cell r="E69" t="str">
            <v>Post</v>
          </cell>
          <cell r="F69">
            <v>14</v>
          </cell>
        </row>
        <row r="70">
          <cell r="A70" t="str">
            <v>Flexstar GT 3.5</v>
          </cell>
          <cell r="B70" t="str">
            <v>pt</v>
          </cell>
          <cell r="C70">
            <v>8</v>
          </cell>
          <cell r="D70" t="str">
            <v>Gallon</v>
          </cell>
          <cell r="E70" t="str">
            <v>Post</v>
          </cell>
          <cell r="F70" t="str">
            <v>9/14</v>
          </cell>
        </row>
        <row r="71">
          <cell r="A71" t="str">
            <v>Fusilade DX</v>
          </cell>
          <cell r="B71" t="str">
            <v>oz</v>
          </cell>
          <cell r="C71">
            <v>128</v>
          </cell>
          <cell r="D71" t="str">
            <v>Gallon</v>
          </cell>
          <cell r="E71" t="str">
            <v>Post</v>
          </cell>
          <cell r="F71">
            <v>1</v>
          </cell>
        </row>
        <row r="72">
          <cell r="A72" t="str">
            <v>Fusion</v>
          </cell>
          <cell r="B72" t="str">
            <v>pt</v>
          </cell>
          <cell r="C72">
            <v>8</v>
          </cell>
          <cell r="D72" t="str">
            <v>Gallon</v>
          </cell>
          <cell r="E72" t="str">
            <v>Post</v>
          </cell>
          <cell r="F72">
            <v>1</v>
          </cell>
        </row>
        <row r="73">
          <cell r="A73" t="str">
            <v>Glyphosate</v>
          </cell>
          <cell r="B73" t="str">
            <v>oz</v>
          </cell>
          <cell r="C73">
            <v>128</v>
          </cell>
          <cell r="D73" t="str">
            <v>Gallon</v>
          </cell>
          <cell r="E73" t="str">
            <v>Post</v>
          </cell>
          <cell r="F73">
            <v>9</v>
          </cell>
        </row>
        <row r="74">
          <cell r="A74" t="str">
            <v>Harmony SG</v>
          </cell>
          <cell r="B74" t="str">
            <v>oz</v>
          </cell>
          <cell r="C74">
            <v>16</v>
          </cell>
          <cell r="D74" t="str">
            <v>Pound</v>
          </cell>
          <cell r="E74" t="str">
            <v>Post</v>
          </cell>
          <cell r="F74">
            <v>2</v>
          </cell>
        </row>
        <row r="75">
          <cell r="A75" t="str">
            <v>Liberty/Cheetah/Interline/Scout</v>
          </cell>
          <cell r="B75" t="str">
            <v>oz</v>
          </cell>
          <cell r="C75">
            <v>128</v>
          </cell>
          <cell r="D75" t="str">
            <v>Gallon</v>
          </cell>
          <cell r="E75" t="str">
            <v>Post</v>
          </cell>
          <cell r="F75" t="str">
            <v>10</v>
          </cell>
        </row>
        <row r="76">
          <cell r="A76" t="str">
            <v>Marvel</v>
          </cell>
          <cell r="B76" t="str">
            <v>oz</v>
          </cell>
          <cell r="C76">
            <v>128</v>
          </cell>
          <cell r="D76" t="str">
            <v>Gallon</v>
          </cell>
          <cell r="E76" t="str">
            <v>Post</v>
          </cell>
          <cell r="F76" t="str">
            <v>14/14</v>
          </cell>
        </row>
        <row r="77">
          <cell r="A77" t="str">
            <v>Phoenix</v>
          </cell>
          <cell r="B77" t="str">
            <v>oz</v>
          </cell>
          <cell r="C77">
            <v>128</v>
          </cell>
          <cell r="D77" t="str">
            <v>Gallon</v>
          </cell>
          <cell r="E77" t="str">
            <v>Post</v>
          </cell>
          <cell r="F77">
            <v>14</v>
          </cell>
        </row>
        <row r="78">
          <cell r="A78" t="str">
            <v>Poast/Poast Plus</v>
          </cell>
          <cell r="B78" t="str">
            <v>oz</v>
          </cell>
          <cell r="C78">
            <v>128</v>
          </cell>
          <cell r="D78" t="str">
            <v>Gallon</v>
          </cell>
          <cell r="E78" t="str">
            <v>Post</v>
          </cell>
          <cell r="F78">
            <v>1</v>
          </cell>
        </row>
        <row r="79">
          <cell r="A79" t="str">
            <v>Prefix</v>
          </cell>
          <cell r="B79" t="str">
            <v>pt</v>
          </cell>
          <cell r="C79">
            <v>8</v>
          </cell>
          <cell r="D79" t="str">
            <v>Gallon</v>
          </cell>
          <cell r="E79" t="str">
            <v>Post</v>
          </cell>
          <cell r="F79" t="str">
            <v>14/15</v>
          </cell>
        </row>
        <row r="80">
          <cell r="A80" t="str">
            <v>Pursuit</v>
          </cell>
          <cell r="B80" t="str">
            <v>oz</v>
          </cell>
          <cell r="C80">
            <v>128</v>
          </cell>
          <cell r="D80" t="str">
            <v>Gallon</v>
          </cell>
          <cell r="E80" t="str">
            <v>Post</v>
          </cell>
          <cell r="F80">
            <v>2</v>
          </cell>
        </row>
        <row r="81">
          <cell r="A81" t="str">
            <v>Raptor</v>
          </cell>
          <cell r="B81" t="str">
            <v>oz</v>
          </cell>
          <cell r="C81">
            <v>128</v>
          </cell>
          <cell r="D81" t="str">
            <v>Gallon</v>
          </cell>
          <cell r="E81" t="str">
            <v>Post</v>
          </cell>
          <cell r="F81">
            <v>2</v>
          </cell>
        </row>
        <row r="82">
          <cell r="A82" t="str">
            <v>Reflex</v>
          </cell>
          <cell r="B82" t="str">
            <v>pt</v>
          </cell>
          <cell r="C82">
            <v>8</v>
          </cell>
          <cell r="D82" t="str">
            <v>Gallon</v>
          </cell>
          <cell r="E82" t="str">
            <v>Post</v>
          </cell>
          <cell r="F82">
            <v>14</v>
          </cell>
        </row>
        <row r="83">
          <cell r="A83" t="str">
            <v>Resource</v>
          </cell>
          <cell r="B83" t="str">
            <v>oz</v>
          </cell>
          <cell r="C83">
            <v>128</v>
          </cell>
          <cell r="D83" t="str">
            <v>Gallon</v>
          </cell>
          <cell r="E83" t="str">
            <v>Post</v>
          </cell>
          <cell r="F83">
            <v>14</v>
          </cell>
        </row>
        <row r="84">
          <cell r="A84" t="str">
            <v>Select Max/Arrow/Select</v>
          </cell>
          <cell r="B84" t="str">
            <v>oz</v>
          </cell>
          <cell r="C84">
            <v>128</v>
          </cell>
          <cell r="D84" t="str">
            <v>Gallon</v>
          </cell>
          <cell r="E84" t="str">
            <v>Post</v>
          </cell>
          <cell r="F84">
            <v>1</v>
          </cell>
        </row>
        <row r="85">
          <cell r="A85" t="str">
            <v>Sequence</v>
          </cell>
          <cell r="B85" t="str">
            <v>pt</v>
          </cell>
          <cell r="C85">
            <v>8</v>
          </cell>
          <cell r="D85" t="str">
            <v>Gallon</v>
          </cell>
          <cell r="E85" t="str">
            <v>Post</v>
          </cell>
          <cell r="F85" t="str">
            <v>9/15</v>
          </cell>
        </row>
        <row r="86">
          <cell r="A86" t="str">
            <v>Synchrony XP</v>
          </cell>
          <cell r="B86" t="str">
            <v>oz</v>
          </cell>
          <cell r="C86">
            <v>16</v>
          </cell>
          <cell r="D86" t="str">
            <v>Pound</v>
          </cell>
          <cell r="E86" t="str">
            <v>Post</v>
          </cell>
          <cell r="F86" t="str">
            <v>2/2</v>
          </cell>
        </row>
        <row r="87">
          <cell r="A87" t="str">
            <v>Tavium</v>
          </cell>
          <cell r="B87" t="str">
            <v>oz</v>
          </cell>
          <cell r="C87">
            <v>128</v>
          </cell>
          <cell r="D87" t="str">
            <v>Gallon</v>
          </cell>
          <cell r="E87" t="str">
            <v>Post</v>
          </cell>
          <cell r="F87" t="str">
            <v>4/15</v>
          </cell>
        </row>
        <row r="88">
          <cell r="A88" t="str">
            <v>Ultra Blazer</v>
          </cell>
          <cell r="B88" t="str">
            <v>pt</v>
          </cell>
          <cell r="C88">
            <v>8</v>
          </cell>
          <cell r="D88" t="str">
            <v>Gallon</v>
          </cell>
          <cell r="E88" t="str">
            <v>Post</v>
          </cell>
          <cell r="F88">
            <v>14</v>
          </cell>
        </row>
        <row r="89">
          <cell r="A89" t="str">
            <v>Warrant Ultra</v>
          </cell>
          <cell r="B89" t="str">
            <v>oz</v>
          </cell>
          <cell r="C89">
            <v>128</v>
          </cell>
          <cell r="D89" t="str">
            <v>Gallon</v>
          </cell>
          <cell r="E89" t="str">
            <v>Post</v>
          </cell>
          <cell r="F89" t="str">
            <v>14/15</v>
          </cell>
        </row>
        <row r="90">
          <cell r="A90" t="str">
            <v>Xtendimax/Fexapan</v>
          </cell>
          <cell r="B90" t="str">
            <v>oz</v>
          </cell>
          <cell r="C90">
            <v>128</v>
          </cell>
          <cell r="D90" t="str">
            <v>Gallon</v>
          </cell>
          <cell r="E90" t="str">
            <v>Post</v>
          </cell>
          <cell r="F90" t="str">
            <v>4</v>
          </cell>
        </row>
        <row r="91">
          <cell r="A91" t="str">
            <v>Enter</v>
          </cell>
          <cell r="B91" t="str">
            <v>Enter</v>
          </cell>
          <cell r="C91">
            <v>0</v>
          </cell>
          <cell r="D91" t="str">
            <v>Enter</v>
          </cell>
          <cell r="E91" t="str">
            <v>Enter</v>
          </cell>
          <cell r="F91">
            <v>0</v>
          </cell>
        </row>
        <row r="92">
          <cell r="A92" t="str">
            <v>Enter</v>
          </cell>
          <cell r="B92" t="str">
            <v>Enter</v>
          </cell>
          <cell r="C92">
            <v>0</v>
          </cell>
          <cell r="D92" t="str">
            <v>Enter</v>
          </cell>
          <cell r="E92" t="str">
            <v>Enter</v>
          </cell>
          <cell r="F92">
            <v>0</v>
          </cell>
        </row>
        <row r="93">
          <cell r="A93" t="str">
            <v>Enter</v>
          </cell>
          <cell r="B93" t="str">
            <v>Enter</v>
          </cell>
          <cell r="C93">
            <v>0</v>
          </cell>
          <cell r="D93" t="str">
            <v>Enter</v>
          </cell>
          <cell r="E93" t="str">
            <v>Enter</v>
          </cell>
          <cell r="F93">
            <v>0</v>
          </cell>
        </row>
        <row r="94">
          <cell r="A94" t="str">
            <v>Enter</v>
          </cell>
          <cell r="B94" t="str">
            <v>Enter</v>
          </cell>
          <cell r="C94">
            <v>0</v>
          </cell>
          <cell r="D94" t="str">
            <v>Enter</v>
          </cell>
          <cell r="E94" t="str">
            <v>Enter</v>
          </cell>
          <cell r="F94">
            <v>0</v>
          </cell>
        </row>
        <row r="98">
          <cell r="A98" t="str">
            <v>None</v>
          </cell>
          <cell r="C98">
            <v>1</v>
          </cell>
          <cell r="D98" t="str">
            <v>None</v>
          </cell>
        </row>
        <row r="99">
          <cell r="A99" t="str">
            <v>Absolute Maxx SC</v>
          </cell>
          <cell r="B99" t="str">
            <v>oz</v>
          </cell>
          <cell r="C99">
            <v>128</v>
          </cell>
          <cell r="D99" t="str">
            <v>Gallons</v>
          </cell>
        </row>
        <row r="100">
          <cell r="A100" t="str">
            <v>Aproach Prima SC</v>
          </cell>
          <cell r="B100" t="str">
            <v>oz</v>
          </cell>
          <cell r="C100">
            <v>128</v>
          </cell>
          <cell r="D100" t="str">
            <v>Gallons</v>
          </cell>
        </row>
        <row r="101">
          <cell r="A101" t="str">
            <v>Aproach SC</v>
          </cell>
          <cell r="B101" t="str">
            <v>oz</v>
          </cell>
          <cell r="C101">
            <v>128</v>
          </cell>
          <cell r="D101" t="str">
            <v>Gallons</v>
          </cell>
        </row>
        <row r="102">
          <cell r="A102" t="str">
            <v>Caramba 0.75 SL</v>
          </cell>
          <cell r="B102" t="str">
            <v>oz</v>
          </cell>
          <cell r="C102">
            <v>128</v>
          </cell>
          <cell r="D102" t="str">
            <v>Gallons</v>
          </cell>
        </row>
        <row r="103">
          <cell r="A103" t="str">
            <v>Delaro 325 SC</v>
          </cell>
          <cell r="B103" t="str">
            <v>oz</v>
          </cell>
          <cell r="C103">
            <v>128</v>
          </cell>
          <cell r="D103" t="str">
            <v>Gallons</v>
          </cell>
        </row>
        <row r="104">
          <cell r="A104" t="str">
            <v>Evito SC</v>
          </cell>
          <cell r="B104" t="str">
            <v>oz</v>
          </cell>
          <cell r="C104">
            <v>128</v>
          </cell>
          <cell r="D104" t="str">
            <v>Gallons</v>
          </cell>
        </row>
        <row r="105">
          <cell r="A105" t="str">
            <v>Folicur 3.6 F</v>
          </cell>
          <cell r="B105" t="str">
            <v>oz</v>
          </cell>
          <cell r="C105">
            <v>128</v>
          </cell>
          <cell r="D105" t="str">
            <v>Gallons</v>
          </cell>
        </row>
        <row r="106">
          <cell r="A106" t="str">
            <v>Headline SC</v>
          </cell>
          <cell r="B106" t="str">
            <v>oz</v>
          </cell>
          <cell r="C106">
            <v>128</v>
          </cell>
          <cell r="D106" t="str">
            <v>Gallons</v>
          </cell>
        </row>
        <row r="107">
          <cell r="A107" t="str">
            <v>Nexicor EC</v>
          </cell>
          <cell r="B107" t="str">
            <v>oz</v>
          </cell>
          <cell r="C107">
            <v>128</v>
          </cell>
          <cell r="D107" t="str">
            <v>Gallons</v>
          </cell>
        </row>
        <row r="108">
          <cell r="A108" t="str">
            <v>Preemptor SC</v>
          </cell>
          <cell r="B108" t="str">
            <v>oz</v>
          </cell>
          <cell r="C108">
            <v>128</v>
          </cell>
          <cell r="D108" t="str">
            <v>Gallons</v>
          </cell>
        </row>
        <row r="109">
          <cell r="A109" t="str">
            <v>Priaxor</v>
          </cell>
          <cell r="B109" t="str">
            <v>oz</v>
          </cell>
          <cell r="C109">
            <v>128</v>
          </cell>
          <cell r="D109" t="str">
            <v>Gallons</v>
          </cell>
        </row>
        <row r="110">
          <cell r="A110" t="str">
            <v>Proline 480 SC</v>
          </cell>
          <cell r="B110" t="str">
            <v>oz</v>
          </cell>
          <cell r="C110">
            <v>128</v>
          </cell>
          <cell r="D110" t="str">
            <v>Gallons</v>
          </cell>
        </row>
        <row r="111">
          <cell r="A111" t="str">
            <v>Prosaro 421 SC</v>
          </cell>
          <cell r="B111" t="str">
            <v>oz</v>
          </cell>
          <cell r="C111">
            <v>128</v>
          </cell>
          <cell r="D111" t="str">
            <v>Gallons</v>
          </cell>
        </row>
        <row r="112">
          <cell r="A112" t="str">
            <v>Quilt Xcel 2.2 SE</v>
          </cell>
          <cell r="B112" t="str">
            <v>oz</v>
          </cell>
          <cell r="C112">
            <v>128</v>
          </cell>
          <cell r="D112" t="str">
            <v>Gallons</v>
          </cell>
        </row>
        <row r="113">
          <cell r="A113" t="str">
            <v>Stratego YLD</v>
          </cell>
          <cell r="B113" t="str">
            <v>oz</v>
          </cell>
          <cell r="C113">
            <v>128</v>
          </cell>
          <cell r="D113" t="str">
            <v>Gallons</v>
          </cell>
        </row>
        <row r="114">
          <cell r="A114" t="str">
            <v>Tilt 3.6 EC</v>
          </cell>
          <cell r="B114" t="str">
            <v>oz</v>
          </cell>
          <cell r="C114">
            <v>128</v>
          </cell>
          <cell r="D114" t="str">
            <v>Gallons</v>
          </cell>
        </row>
        <row r="115">
          <cell r="A115" t="str">
            <v>Trivapro SE</v>
          </cell>
          <cell r="B115" t="str">
            <v>oz</v>
          </cell>
          <cell r="C115">
            <v>128</v>
          </cell>
          <cell r="D115" t="str">
            <v>Gallons</v>
          </cell>
        </row>
        <row r="116">
          <cell r="A116" t="str">
            <v>Enter</v>
          </cell>
          <cell r="B116" t="str">
            <v>Enter</v>
          </cell>
          <cell r="C116">
            <v>0</v>
          </cell>
          <cell r="D116" t="str">
            <v>Enter</v>
          </cell>
        </row>
        <row r="117">
          <cell r="A117" t="str">
            <v>Enter</v>
          </cell>
          <cell r="B117" t="str">
            <v>Enter</v>
          </cell>
          <cell r="C117">
            <v>0</v>
          </cell>
          <cell r="D117" t="str">
            <v>Enter</v>
          </cell>
        </row>
        <row r="118">
          <cell r="A118" t="str">
            <v>Enter</v>
          </cell>
          <cell r="B118" t="str">
            <v>Enter</v>
          </cell>
          <cell r="C118">
            <v>0</v>
          </cell>
          <cell r="D118" t="str">
            <v>Enter</v>
          </cell>
        </row>
        <row r="119">
          <cell r="A119" t="str">
            <v>Enter</v>
          </cell>
          <cell r="B119" t="str">
            <v>Enter</v>
          </cell>
          <cell r="C119">
            <v>0</v>
          </cell>
          <cell r="D119" t="str">
            <v>Enter</v>
          </cell>
        </row>
        <row r="130">
          <cell r="A130" t="str">
            <v>None</v>
          </cell>
          <cell r="C130">
            <v>1</v>
          </cell>
          <cell r="D130" t="str">
            <v>None</v>
          </cell>
        </row>
        <row r="131">
          <cell r="A131" t="str">
            <v>Ambush 25W</v>
          </cell>
          <cell r="B131" t="str">
            <v>oz</v>
          </cell>
          <cell r="C131">
            <v>1</v>
          </cell>
          <cell r="D131" t="str">
            <v>Gallon</v>
          </cell>
        </row>
        <row r="132">
          <cell r="A132" t="str">
            <v>Arctic 3.2 EC</v>
          </cell>
          <cell r="B132" t="str">
            <v>oz</v>
          </cell>
          <cell r="C132">
            <v>1</v>
          </cell>
          <cell r="D132" t="str">
            <v>Gallon</v>
          </cell>
        </row>
        <row r="133">
          <cell r="A133" t="str">
            <v>Asana XL</v>
          </cell>
          <cell r="B133" t="str">
            <v>oz</v>
          </cell>
          <cell r="C133">
            <v>1</v>
          </cell>
          <cell r="D133" t="str">
            <v>Gallon</v>
          </cell>
        </row>
        <row r="134">
          <cell r="A134" t="str">
            <v>Baythroid 2</v>
          </cell>
          <cell r="B134" t="str">
            <v>oz</v>
          </cell>
          <cell r="C134">
            <v>1</v>
          </cell>
          <cell r="D134" t="str">
            <v>Gallon</v>
          </cell>
        </row>
        <row r="135">
          <cell r="A135" t="str">
            <v>Baythroid XL</v>
          </cell>
          <cell r="B135" t="str">
            <v>oz</v>
          </cell>
          <cell r="C135">
            <v>1</v>
          </cell>
          <cell r="D135" t="str">
            <v>Gallon</v>
          </cell>
        </row>
        <row r="136">
          <cell r="A136" t="str">
            <v>Bifenture EC</v>
          </cell>
          <cell r="B136" t="str">
            <v>oz</v>
          </cell>
          <cell r="C136">
            <v>1</v>
          </cell>
          <cell r="D136" t="str">
            <v>Gallon</v>
          </cell>
        </row>
        <row r="137">
          <cell r="A137" t="str">
            <v>Brigade 2EC</v>
          </cell>
          <cell r="B137" t="str">
            <v>oz</v>
          </cell>
          <cell r="C137">
            <v>1</v>
          </cell>
          <cell r="D137" t="str">
            <v>Gallon</v>
          </cell>
        </row>
        <row r="138">
          <cell r="A138" t="str">
            <v>Capture 2EC</v>
          </cell>
          <cell r="B138" t="str">
            <v>oz</v>
          </cell>
          <cell r="C138">
            <v>1</v>
          </cell>
          <cell r="D138" t="str">
            <v>Gallon</v>
          </cell>
        </row>
        <row r="139">
          <cell r="A139" t="str">
            <v>Carbaryl 4L</v>
          </cell>
          <cell r="B139" t="str">
            <v>pt</v>
          </cell>
          <cell r="C139">
            <v>8</v>
          </cell>
          <cell r="D139" t="str">
            <v>Gallon</v>
          </cell>
        </row>
        <row r="140">
          <cell r="A140" t="str">
            <v>Chlorpyrifos 4E</v>
          </cell>
          <cell r="B140" t="str">
            <v>pt</v>
          </cell>
          <cell r="C140">
            <v>8</v>
          </cell>
          <cell r="D140" t="str">
            <v>Gallon</v>
          </cell>
        </row>
        <row r="141">
          <cell r="A141" t="str">
            <v>Cobalt</v>
          </cell>
          <cell r="B141" t="str">
            <v>oz</v>
          </cell>
          <cell r="C141">
            <v>1</v>
          </cell>
          <cell r="D141" t="str">
            <v>Gallon</v>
          </cell>
        </row>
        <row r="142">
          <cell r="A142" t="str">
            <v>Dimethoate 267</v>
          </cell>
          <cell r="B142" t="str">
            <v>pt</v>
          </cell>
          <cell r="C142">
            <v>8</v>
          </cell>
          <cell r="D142" t="str">
            <v>Gallon</v>
          </cell>
        </row>
        <row r="143">
          <cell r="A143" t="str">
            <v>Dimethoate 4EC and DiGon 400</v>
          </cell>
          <cell r="B143" t="str">
            <v>pt</v>
          </cell>
          <cell r="C143">
            <v>8</v>
          </cell>
          <cell r="D143" t="str">
            <v>Gallon</v>
          </cell>
        </row>
        <row r="144">
          <cell r="A144" t="str">
            <v>Dimilin 25W &amp; 2L</v>
          </cell>
          <cell r="B144" t="str">
            <v>oz</v>
          </cell>
          <cell r="C144">
            <v>1</v>
          </cell>
          <cell r="D144" t="str">
            <v>Gallon</v>
          </cell>
        </row>
        <row r="145">
          <cell r="A145" t="str">
            <v>Entrust</v>
          </cell>
          <cell r="B145" t="str">
            <v>oz</v>
          </cell>
          <cell r="C145">
            <v>1</v>
          </cell>
          <cell r="D145" t="str">
            <v>Gallon</v>
          </cell>
        </row>
        <row r="146">
          <cell r="A146" t="str">
            <v>Intrepid 2F</v>
          </cell>
          <cell r="B146" t="str">
            <v>oz</v>
          </cell>
          <cell r="C146">
            <v>1</v>
          </cell>
          <cell r="D146" t="str">
            <v>Gallon</v>
          </cell>
        </row>
        <row r="147">
          <cell r="A147" t="str">
            <v>Lambda-Cy EC</v>
          </cell>
          <cell r="B147" t="str">
            <v>oz</v>
          </cell>
          <cell r="C147">
            <v>1</v>
          </cell>
          <cell r="D147" t="str">
            <v>Gallon</v>
          </cell>
        </row>
        <row r="148">
          <cell r="A148" t="str">
            <v>Lannate LV(oz)</v>
          </cell>
          <cell r="B148" t="str">
            <v>oz</v>
          </cell>
          <cell r="C148">
            <v>1</v>
          </cell>
          <cell r="D148" t="str">
            <v>Gallon</v>
          </cell>
        </row>
        <row r="149">
          <cell r="A149" t="str">
            <v>Lannate LV (lb)</v>
          </cell>
          <cell r="B149" t="str">
            <v>lb</v>
          </cell>
          <cell r="C149">
            <v>1</v>
          </cell>
          <cell r="D149" t="str">
            <v>Pound</v>
          </cell>
        </row>
        <row r="150">
          <cell r="A150" t="str">
            <v>Larvin 3.2</v>
          </cell>
          <cell r="B150" t="str">
            <v>oz</v>
          </cell>
          <cell r="C150">
            <v>1</v>
          </cell>
          <cell r="D150" t="str">
            <v>Gallon</v>
          </cell>
        </row>
        <row r="151">
          <cell r="A151" t="str">
            <v>Leverage 2.7</v>
          </cell>
          <cell r="B151" t="str">
            <v>oz</v>
          </cell>
          <cell r="C151">
            <v>1</v>
          </cell>
          <cell r="D151" t="str">
            <v>Gallon</v>
          </cell>
        </row>
        <row r="152">
          <cell r="A152" t="str">
            <v>Leverage 360</v>
          </cell>
          <cell r="B152" t="str">
            <v>oz</v>
          </cell>
          <cell r="C152">
            <v>1</v>
          </cell>
          <cell r="D152" t="str">
            <v>Gallon</v>
          </cell>
        </row>
        <row r="153">
          <cell r="A153" t="str">
            <v>Lorsban 4E &amp; Advanced</v>
          </cell>
          <cell r="B153" t="str">
            <v>pt</v>
          </cell>
          <cell r="C153">
            <v>8</v>
          </cell>
          <cell r="D153" t="str">
            <v>Gallon</v>
          </cell>
        </row>
        <row r="154">
          <cell r="A154" t="str">
            <v>Mustang Maxx EC &amp; EW</v>
          </cell>
          <cell r="B154" t="str">
            <v>oz</v>
          </cell>
          <cell r="C154">
            <v>1</v>
          </cell>
          <cell r="D154" t="str">
            <v>Gallon</v>
          </cell>
        </row>
        <row r="155">
          <cell r="A155" t="str">
            <v>Nufos 4E</v>
          </cell>
          <cell r="B155" t="str">
            <v>pt</v>
          </cell>
          <cell r="C155">
            <v>8</v>
          </cell>
          <cell r="D155" t="str">
            <v>Gallon</v>
          </cell>
        </row>
        <row r="156">
          <cell r="A156" t="str">
            <v>Orthene 75S</v>
          </cell>
          <cell r="B156" t="str">
            <v>lb</v>
          </cell>
          <cell r="C156">
            <v>1</v>
          </cell>
          <cell r="D156" t="str">
            <v>Pound</v>
          </cell>
        </row>
        <row r="157">
          <cell r="A157" t="str">
            <v>Orthene 90S</v>
          </cell>
          <cell r="B157" t="str">
            <v>lb</v>
          </cell>
          <cell r="C157">
            <v>1</v>
          </cell>
          <cell r="D157" t="str">
            <v>Pound</v>
          </cell>
        </row>
        <row r="158">
          <cell r="A158" t="str">
            <v>Orthene 97</v>
          </cell>
          <cell r="B158" t="str">
            <v>lb</v>
          </cell>
          <cell r="C158">
            <v>1</v>
          </cell>
          <cell r="D158" t="str">
            <v>Pound</v>
          </cell>
        </row>
        <row r="159">
          <cell r="A159" t="str">
            <v>Penncap-M</v>
          </cell>
          <cell r="B159" t="str">
            <v>pt</v>
          </cell>
          <cell r="C159">
            <v>8</v>
          </cell>
          <cell r="D159" t="str">
            <v>Gallon</v>
          </cell>
        </row>
        <row r="160">
          <cell r="A160" t="str">
            <v>Permethrin/ Perm-Up 3.2EC</v>
          </cell>
          <cell r="B160" t="str">
            <v>oz</v>
          </cell>
          <cell r="C160">
            <v>1</v>
          </cell>
          <cell r="D160" t="str">
            <v>Gallon</v>
          </cell>
        </row>
        <row r="161">
          <cell r="A161" t="str">
            <v>Pounce 25WP &amp; 3.2 EC</v>
          </cell>
          <cell r="B161" t="str">
            <v>oz</v>
          </cell>
          <cell r="C161">
            <v>1</v>
          </cell>
          <cell r="D161" t="str">
            <v>Gallon</v>
          </cell>
        </row>
        <row r="162">
          <cell r="A162" t="str">
            <v>Proaxis</v>
          </cell>
          <cell r="B162" t="str">
            <v>oz</v>
          </cell>
          <cell r="C162">
            <v>1</v>
          </cell>
          <cell r="D162" t="str">
            <v>Gallon</v>
          </cell>
        </row>
        <row r="163">
          <cell r="A163" t="str">
            <v>Radiant SC</v>
          </cell>
          <cell r="B163" t="str">
            <v>oz</v>
          </cell>
          <cell r="C163">
            <v>1</v>
          </cell>
          <cell r="D163" t="str">
            <v>Gallon</v>
          </cell>
        </row>
        <row r="164">
          <cell r="A164" t="str">
            <v>Sevin 4 F and XLR Plus</v>
          </cell>
          <cell r="B164" t="str">
            <v>qt</v>
          </cell>
          <cell r="C164">
            <v>4</v>
          </cell>
          <cell r="D164" t="str">
            <v>Gallon</v>
          </cell>
        </row>
        <row r="165">
          <cell r="A165" t="str">
            <v>Sevin 80S and 80WSP</v>
          </cell>
          <cell r="B165" t="str">
            <v>lb</v>
          </cell>
          <cell r="C165">
            <v>1</v>
          </cell>
          <cell r="D165" t="str">
            <v>Pound</v>
          </cell>
        </row>
        <row r="166">
          <cell r="A166" t="str">
            <v>Silencer</v>
          </cell>
          <cell r="B166" t="str">
            <v>oz</v>
          </cell>
          <cell r="C166">
            <v>1</v>
          </cell>
          <cell r="D166" t="str">
            <v>Gallon</v>
          </cell>
        </row>
        <row r="167">
          <cell r="A167" t="str">
            <v>Tracer</v>
          </cell>
          <cell r="B167" t="str">
            <v>oz</v>
          </cell>
          <cell r="C167">
            <v>1</v>
          </cell>
          <cell r="D167" t="str">
            <v>Gallon</v>
          </cell>
        </row>
        <row r="168">
          <cell r="A168" t="str">
            <v>Warrior</v>
          </cell>
          <cell r="B168" t="str">
            <v>oz</v>
          </cell>
          <cell r="C168">
            <v>1</v>
          </cell>
          <cell r="D168" t="str">
            <v>Gallon</v>
          </cell>
        </row>
        <row r="169">
          <cell r="A169" t="str">
            <v>Enter</v>
          </cell>
          <cell r="B169" t="str">
            <v>Enter</v>
          </cell>
          <cell r="C169">
            <v>0</v>
          </cell>
          <cell r="D169" t="str">
            <v>Enter</v>
          </cell>
        </row>
        <row r="170">
          <cell r="A170" t="str">
            <v>Enter</v>
          </cell>
          <cell r="B170" t="str">
            <v>Enter</v>
          </cell>
          <cell r="C170">
            <v>0</v>
          </cell>
          <cell r="D170" t="str">
            <v>Enter</v>
          </cell>
        </row>
        <row r="171">
          <cell r="A171" t="str">
            <v>Enter</v>
          </cell>
          <cell r="B171" t="str">
            <v>Enter</v>
          </cell>
          <cell r="C171">
            <v>0</v>
          </cell>
          <cell r="D171" t="str">
            <v>Enter</v>
          </cell>
        </row>
        <row r="172">
          <cell r="A172" t="str">
            <v>Enter</v>
          </cell>
          <cell r="B172" t="str">
            <v>Enter</v>
          </cell>
          <cell r="C172">
            <v>0</v>
          </cell>
          <cell r="D172" t="str">
            <v>Enter</v>
          </cell>
        </row>
      </sheetData>
      <sheetData sheetId="18">
        <row r="4">
          <cell r="A4" t="str">
            <v>None</v>
          </cell>
          <cell r="C4">
            <v>1</v>
          </cell>
          <cell r="D4" t="str">
            <v>None</v>
          </cell>
          <cell r="E4" t="str">
            <v>None</v>
          </cell>
        </row>
        <row r="5">
          <cell r="A5" t="str">
            <v>2,4-D Amine</v>
          </cell>
          <cell r="B5" t="str">
            <v>pt</v>
          </cell>
          <cell r="C5">
            <v>8</v>
          </cell>
          <cell r="D5" t="str">
            <v>Gallon</v>
          </cell>
          <cell r="F5">
            <v>4</v>
          </cell>
        </row>
        <row r="6">
          <cell r="A6" t="str">
            <v>2,4-D Ester</v>
          </cell>
          <cell r="B6" t="str">
            <v>pt</v>
          </cell>
          <cell r="C6">
            <v>8</v>
          </cell>
          <cell r="D6" t="str">
            <v>Gallon</v>
          </cell>
          <cell r="F6" t="str">
            <v>4</v>
          </cell>
        </row>
        <row r="7">
          <cell r="A7" t="str">
            <v>Affinity Broadspec</v>
          </cell>
          <cell r="B7" t="str">
            <v>oz</v>
          </cell>
          <cell r="C7">
            <v>16</v>
          </cell>
          <cell r="D7" t="str">
            <v>Pound</v>
          </cell>
          <cell r="F7" t="str">
            <v>2/2</v>
          </cell>
        </row>
        <row r="8">
          <cell r="A8" t="str">
            <v>Axial XL</v>
          </cell>
          <cell r="B8" t="str">
            <v>oz</v>
          </cell>
          <cell r="C8">
            <v>128</v>
          </cell>
          <cell r="D8" t="str">
            <v>Gallon</v>
          </cell>
          <cell r="F8" t="str">
            <v>1</v>
          </cell>
        </row>
        <row r="9">
          <cell r="A9" t="str">
            <v>Banvel/Clarity</v>
          </cell>
          <cell r="B9" t="str">
            <v>pt</v>
          </cell>
          <cell r="C9">
            <v>8</v>
          </cell>
          <cell r="D9" t="str">
            <v>Gallon</v>
          </cell>
          <cell r="F9" t="str">
            <v>4</v>
          </cell>
        </row>
        <row r="10">
          <cell r="A10" t="str">
            <v>Buctril/Moxy</v>
          </cell>
          <cell r="B10" t="str">
            <v>pt</v>
          </cell>
          <cell r="C10">
            <v>8</v>
          </cell>
          <cell r="D10" t="str">
            <v>Gallon</v>
          </cell>
          <cell r="F10">
            <v>6</v>
          </cell>
        </row>
        <row r="11">
          <cell r="A11" t="str">
            <v>Curtail</v>
          </cell>
          <cell r="B11" t="str">
            <v>pt</v>
          </cell>
          <cell r="C11">
            <v>8</v>
          </cell>
          <cell r="D11" t="str">
            <v>Gallon</v>
          </cell>
          <cell r="F11" t="str">
            <v>4/4</v>
          </cell>
        </row>
        <row r="12">
          <cell r="A12" t="str">
            <v>Express</v>
          </cell>
          <cell r="B12" t="str">
            <v>oz</v>
          </cell>
          <cell r="C12">
            <v>16</v>
          </cell>
          <cell r="D12" t="str">
            <v>Pound</v>
          </cell>
          <cell r="F12" t="str">
            <v>2</v>
          </cell>
        </row>
        <row r="13">
          <cell r="A13" t="str">
            <v>Harmony</v>
          </cell>
          <cell r="B13" t="str">
            <v>oz</v>
          </cell>
          <cell r="C13">
            <v>16</v>
          </cell>
          <cell r="D13" t="str">
            <v>Pound</v>
          </cell>
          <cell r="F13" t="str">
            <v>2</v>
          </cell>
        </row>
        <row r="14">
          <cell r="A14" t="str">
            <v>Harmony Extra</v>
          </cell>
          <cell r="B14" t="str">
            <v>oz</v>
          </cell>
          <cell r="C14">
            <v>16</v>
          </cell>
          <cell r="D14" t="str">
            <v>Pound</v>
          </cell>
          <cell r="F14" t="str">
            <v>2/2</v>
          </cell>
        </row>
        <row r="15">
          <cell r="A15" t="str">
            <v>Huskie</v>
          </cell>
          <cell r="B15" t="str">
            <v>oz</v>
          </cell>
          <cell r="C15">
            <v>128</v>
          </cell>
          <cell r="D15" t="str">
            <v>Gallon</v>
          </cell>
          <cell r="F15" t="str">
            <v>6/27</v>
          </cell>
        </row>
        <row r="16">
          <cell r="A16" t="str">
            <v>MCPA</v>
          </cell>
          <cell r="B16" t="str">
            <v>pt</v>
          </cell>
          <cell r="C16">
            <v>8</v>
          </cell>
          <cell r="D16" t="str">
            <v>Gallon</v>
          </cell>
          <cell r="F16" t="str">
            <v>4</v>
          </cell>
        </row>
        <row r="17">
          <cell r="A17" t="str">
            <v>Nimble</v>
          </cell>
          <cell r="B17" t="str">
            <v>oz</v>
          </cell>
          <cell r="C17">
            <v>16</v>
          </cell>
          <cell r="D17" t="str">
            <v>Pound</v>
          </cell>
          <cell r="F17" t="str">
            <v>2/2</v>
          </cell>
        </row>
        <row r="18">
          <cell r="A18" t="str">
            <v>Osprey</v>
          </cell>
          <cell r="B18" t="str">
            <v>oz</v>
          </cell>
          <cell r="C18">
            <v>16</v>
          </cell>
          <cell r="D18" t="str">
            <v>Pound</v>
          </cell>
          <cell r="F18" t="str">
            <v>2</v>
          </cell>
        </row>
        <row r="19">
          <cell r="A19" t="str">
            <v>Peak</v>
          </cell>
          <cell r="B19" t="str">
            <v>oz</v>
          </cell>
          <cell r="C19">
            <v>16</v>
          </cell>
          <cell r="D19" t="str">
            <v>Pound</v>
          </cell>
          <cell r="F19" t="str">
            <v>2</v>
          </cell>
        </row>
        <row r="20">
          <cell r="A20" t="str">
            <v>Powerflex HL</v>
          </cell>
          <cell r="B20" t="str">
            <v>oz</v>
          </cell>
          <cell r="C20">
            <v>16</v>
          </cell>
          <cell r="D20" t="str">
            <v>Pound</v>
          </cell>
          <cell r="F20" t="str">
            <v>2</v>
          </cell>
        </row>
        <row r="21">
          <cell r="A21" t="str">
            <v>Prowl H20</v>
          </cell>
          <cell r="B21" t="str">
            <v>pt</v>
          </cell>
          <cell r="C21">
            <v>8</v>
          </cell>
          <cell r="D21" t="str">
            <v>Gallon</v>
          </cell>
          <cell r="F21" t="str">
            <v>3</v>
          </cell>
        </row>
        <row r="22">
          <cell r="A22" t="str">
            <v>Puma</v>
          </cell>
          <cell r="B22" t="str">
            <v>pt</v>
          </cell>
          <cell r="C22">
            <v>8</v>
          </cell>
          <cell r="D22" t="str">
            <v>Gallon</v>
          </cell>
          <cell r="F22" t="str">
            <v>1</v>
          </cell>
        </row>
        <row r="23">
          <cell r="A23" t="str">
            <v>Quelex</v>
          </cell>
          <cell r="B23" t="str">
            <v>oz</v>
          </cell>
          <cell r="C23">
            <v>16</v>
          </cell>
          <cell r="D23" t="str">
            <v>Pound</v>
          </cell>
          <cell r="F23" t="str">
            <v>2/4</v>
          </cell>
        </row>
        <row r="24">
          <cell r="A24" t="str">
            <v>Starane Ultra</v>
          </cell>
          <cell r="B24" t="str">
            <v>pt</v>
          </cell>
          <cell r="C24">
            <v>8</v>
          </cell>
          <cell r="D24" t="str">
            <v>Gallon</v>
          </cell>
          <cell r="F24" t="str">
            <v>4</v>
          </cell>
        </row>
        <row r="25">
          <cell r="A25" t="str">
            <v>Stinger</v>
          </cell>
          <cell r="B25" t="str">
            <v>pt</v>
          </cell>
          <cell r="C25">
            <v>8</v>
          </cell>
          <cell r="D25" t="str">
            <v>Gallon</v>
          </cell>
          <cell r="F25" t="str">
            <v>4</v>
          </cell>
        </row>
        <row r="26">
          <cell r="A26" t="str">
            <v>Talinor</v>
          </cell>
          <cell r="B26" t="str">
            <v>oz</v>
          </cell>
          <cell r="C26">
            <v>128</v>
          </cell>
          <cell r="D26" t="str">
            <v>Gallon</v>
          </cell>
          <cell r="F26" t="str">
            <v>6/27</v>
          </cell>
        </row>
        <row r="27">
          <cell r="A27" t="str">
            <v>Widematch</v>
          </cell>
          <cell r="B27" t="str">
            <v>pt</v>
          </cell>
          <cell r="C27">
            <v>8</v>
          </cell>
          <cell r="D27" t="str">
            <v>Gallon</v>
          </cell>
          <cell r="F27" t="str">
            <v>4/4</v>
          </cell>
        </row>
        <row r="28">
          <cell r="A28" t="str">
            <v>Enter</v>
          </cell>
          <cell r="B28" t="str">
            <v>Enter</v>
          </cell>
          <cell r="C28">
            <v>0</v>
          </cell>
          <cell r="D28" t="str">
            <v>Enter</v>
          </cell>
          <cell r="E28" t="str">
            <v>Enter</v>
          </cell>
          <cell r="F28">
            <v>0</v>
          </cell>
        </row>
        <row r="29">
          <cell r="A29" t="str">
            <v>Enter</v>
          </cell>
          <cell r="B29" t="str">
            <v>Enter</v>
          </cell>
          <cell r="C29">
            <v>0</v>
          </cell>
          <cell r="D29" t="str">
            <v>Enter</v>
          </cell>
          <cell r="E29" t="str">
            <v>Enter</v>
          </cell>
          <cell r="F29">
            <v>0</v>
          </cell>
        </row>
        <row r="30">
          <cell r="A30" t="str">
            <v>Enter</v>
          </cell>
          <cell r="B30" t="str">
            <v>Enter</v>
          </cell>
          <cell r="C30">
            <v>0</v>
          </cell>
          <cell r="D30" t="str">
            <v>Enter</v>
          </cell>
          <cell r="E30" t="str">
            <v>Enter</v>
          </cell>
          <cell r="F30">
            <v>0</v>
          </cell>
        </row>
        <row r="31">
          <cell r="A31" t="str">
            <v>Enter</v>
          </cell>
          <cell r="B31" t="str">
            <v>Enter</v>
          </cell>
          <cell r="C31">
            <v>0</v>
          </cell>
          <cell r="D31" t="str">
            <v>Enter</v>
          </cell>
          <cell r="E31" t="str">
            <v>Enter</v>
          </cell>
          <cell r="F31">
            <v>0</v>
          </cell>
        </row>
        <row r="36">
          <cell r="A36" t="str">
            <v>None</v>
          </cell>
          <cell r="C36">
            <v>1</v>
          </cell>
          <cell r="D36" t="str">
            <v>None</v>
          </cell>
        </row>
        <row r="37">
          <cell r="A37" t="str">
            <v>Absolute Maxx SC</v>
          </cell>
          <cell r="B37" t="str">
            <v>oz</v>
          </cell>
          <cell r="C37">
            <v>128</v>
          </cell>
          <cell r="D37" t="str">
            <v>Gallons</v>
          </cell>
        </row>
        <row r="38">
          <cell r="A38" t="str">
            <v>Aproach Prima SC</v>
          </cell>
          <cell r="B38" t="str">
            <v>oz</v>
          </cell>
          <cell r="C38">
            <v>128</v>
          </cell>
          <cell r="D38" t="str">
            <v>Gallons</v>
          </cell>
        </row>
        <row r="39">
          <cell r="A39" t="str">
            <v>Aproach SC</v>
          </cell>
          <cell r="B39" t="str">
            <v>oz</v>
          </cell>
          <cell r="C39">
            <v>128</v>
          </cell>
          <cell r="D39" t="str">
            <v>Gallons</v>
          </cell>
        </row>
        <row r="40">
          <cell r="A40" t="str">
            <v>Caramba 0.75 SL</v>
          </cell>
          <cell r="B40" t="str">
            <v>oz</v>
          </cell>
          <cell r="C40">
            <v>128</v>
          </cell>
          <cell r="D40" t="str">
            <v>Gallons</v>
          </cell>
        </row>
        <row r="41">
          <cell r="A41" t="str">
            <v>Delaro 325 SC</v>
          </cell>
          <cell r="B41" t="str">
            <v>oz</v>
          </cell>
          <cell r="C41">
            <v>128</v>
          </cell>
          <cell r="D41" t="str">
            <v>Gallons</v>
          </cell>
        </row>
        <row r="42">
          <cell r="A42" t="str">
            <v>Evito SC</v>
          </cell>
          <cell r="B42" t="str">
            <v>oz</v>
          </cell>
          <cell r="C42">
            <v>128</v>
          </cell>
          <cell r="D42" t="str">
            <v>Gallons</v>
          </cell>
        </row>
        <row r="43">
          <cell r="A43" t="str">
            <v>Folicur 3.6 F</v>
          </cell>
          <cell r="B43" t="str">
            <v>oz</v>
          </cell>
          <cell r="C43">
            <v>128</v>
          </cell>
          <cell r="D43" t="str">
            <v>Gallons</v>
          </cell>
        </row>
        <row r="44">
          <cell r="A44" t="str">
            <v>Headline SC</v>
          </cell>
          <cell r="B44" t="str">
            <v>oz</v>
          </cell>
          <cell r="C44">
            <v>128</v>
          </cell>
          <cell r="D44" t="str">
            <v>Gallons</v>
          </cell>
        </row>
        <row r="45">
          <cell r="A45" t="str">
            <v>Nexicor EC</v>
          </cell>
          <cell r="B45" t="str">
            <v>oz</v>
          </cell>
          <cell r="C45">
            <v>128</v>
          </cell>
          <cell r="D45" t="str">
            <v>Gallons</v>
          </cell>
        </row>
        <row r="46">
          <cell r="A46" t="str">
            <v>Preemptor SC</v>
          </cell>
          <cell r="B46" t="str">
            <v>oz</v>
          </cell>
          <cell r="C46">
            <v>128</v>
          </cell>
          <cell r="D46" t="str">
            <v>Gallons</v>
          </cell>
        </row>
        <row r="47">
          <cell r="A47" t="str">
            <v>Priaxor</v>
          </cell>
          <cell r="B47" t="str">
            <v>oz</v>
          </cell>
          <cell r="C47">
            <v>128</v>
          </cell>
          <cell r="D47" t="str">
            <v>Gallons</v>
          </cell>
        </row>
        <row r="48">
          <cell r="A48" t="str">
            <v>Proline 480 SC</v>
          </cell>
          <cell r="B48" t="str">
            <v>oz</v>
          </cell>
          <cell r="C48">
            <v>128</v>
          </cell>
          <cell r="D48" t="str">
            <v>Gallons</v>
          </cell>
        </row>
        <row r="49">
          <cell r="A49" t="str">
            <v>Prosaro 421 SC</v>
          </cell>
          <cell r="B49" t="str">
            <v>oz</v>
          </cell>
          <cell r="C49">
            <v>128</v>
          </cell>
          <cell r="D49" t="str">
            <v>Gallons</v>
          </cell>
        </row>
        <row r="50">
          <cell r="A50" t="str">
            <v>Quilt Xcel 2.2 SE</v>
          </cell>
          <cell r="B50" t="str">
            <v>oz</v>
          </cell>
          <cell r="C50">
            <v>128</v>
          </cell>
          <cell r="D50" t="str">
            <v>Gallons</v>
          </cell>
        </row>
        <row r="51">
          <cell r="A51" t="str">
            <v>Stratego YLD</v>
          </cell>
          <cell r="B51" t="str">
            <v>oz</v>
          </cell>
          <cell r="C51">
            <v>128</v>
          </cell>
          <cell r="D51" t="str">
            <v>Gallons</v>
          </cell>
        </row>
        <row r="52">
          <cell r="A52" t="str">
            <v>Tilt 3.6 EC</v>
          </cell>
          <cell r="B52" t="str">
            <v>oz</v>
          </cell>
          <cell r="C52">
            <v>128</v>
          </cell>
          <cell r="D52" t="str">
            <v>Gallons</v>
          </cell>
        </row>
        <row r="53">
          <cell r="A53" t="str">
            <v>Trivapro SE</v>
          </cell>
          <cell r="B53" t="str">
            <v>oz</v>
          </cell>
          <cell r="C53">
            <v>128</v>
          </cell>
          <cell r="D53" t="str">
            <v>Gallons</v>
          </cell>
        </row>
        <row r="54">
          <cell r="A54" t="str">
            <v>Enter</v>
          </cell>
          <cell r="B54" t="str">
            <v>Enter</v>
          </cell>
          <cell r="C54">
            <v>0</v>
          </cell>
          <cell r="D54" t="str">
            <v>Enter</v>
          </cell>
        </row>
        <row r="55">
          <cell r="A55" t="str">
            <v>Enter</v>
          </cell>
          <cell r="B55" t="str">
            <v>Enter</v>
          </cell>
          <cell r="C55">
            <v>0</v>
          </cell>
          <cell r="D55" t="str">
            <v>Enter</v>
          </cell>
        </row>
        <row r="56">
          <cell r="A56" t="str">
            <v>Enter</v>
          </cell>
          <cell r="B56" t="str">
            <v>Enter</v>
          </cell>
          <cell r="C56">
            <v>0</v>
          </cell>
          <cell r="D56" t="str">
            <v>Enter</v>
          </cell>
        </row>
        <row r="57">
          <cell r="A57" t="str">
            <v>Enter</v>
          </cell>
          <cell r="B57" t="str">
            <v>Enter</v>
          </cell>
          <cell r="C57">
            <v>0</v>
          </cell>
          <cell r="D57" t="str">
            <v>Enter</v>
          </cell>
        </row>
        <row r="68">
          <cell r="A68" t="str">
            <v>None</v>
          </cell>
          <cell r="C68">
            <v>1</v>
          </cell>
          <cell r="D68" t="str">
            <v>None</v>
          </cell>
        </row>
        <row r="69">
          <cell r="A69" t="str">
            <v>Baythroid XL</v>
          </cell>
          <cell r="B69" t="str">
            <v>oz</v>
          </cell>
          <cell r="C69">
            <v>1</v>
          </cell>
          <cell r="D69" t="str">
            <v>Gallon</v>
          </cell>
        </row>
        <row r="70">
          <cell r="A70" t="str">
            <v>Dimethoate 4EC / 400 (5lb)</v>
          </cell>
          <cell r="B70" t="str">
            <v>lb</v>
          </cell>
          <cell r="C70">
            <v>5</v>
          </cell>
          <cell r="D70" t="str">
            <v>Pound</v>
          </cell>
        </row>
        <row r="71">
          <cell r="A71" t="str">
            <v>Dimethoate 4EC / 400 (gal)</v>
          </cell>
          <cell r="B71" t="str">
            <v>pt</v>
          </cell>
          <cell r="C71">
            <v>8</v>
          </cell>
          <cell r="D71" t="str">
            <v>Gallon</v>
          </cell>
        </row>
        <row r="72">
          <cell r="A72" t="str">
            <v>Lannate LV (lb)</v>
          </cell>
          <cell r="B72" t="str">
            <v>lb</v>
          </cell>
          <cell r="C72">
            <v>1</v>
          </cell>
          <cell r="D72" t="str">
            <v>Pound</v>
          </cell>
        </row>
        <row r="73">
          <cell r="A73" t="str">
            <v>Lannate LV(oz)</v>
          </cell>
          <cell r="B73" t="str">
            <v>oz</v>
          </cell>
          <cell r="C73">
            <v>1</v>
          </cell>
          <cell r="D73" t="str">
            <v>Gallon</v>
          </cell>
        </row>
        <row r="74">
          <cell r="A74" t="str">
            <v>Malathion 5EC, 8F and 8 Aquamul</v>
          </cell>
          <cell r="B74" t="str">
            <v>pt</v>
          </cell>
          <cell r="C74">
            <v>8</v>
          </cell>
          <cell r="D74" t="str">
            <v>Gallon</v>
          </cell>
        </row>
        <row r="75">
          <cell r="A75" t="str">
            <v>Mustang Maxx EC &amp; EW</v>
          </cell>
          <cell r="B75" t="str">
            <v>oz</v>
          </cell>
          <cell r="C75">
            <v>1</v>
          </cell>
          <cell r="D75" t="str">
            <v>Gallon</v>
          </cell>
        </row>
        <row r="76">
          <cell r="A76" t="str">
            <v xml:space="preserve">Radiant SC </v>
          </cell>
          <cell r="B76" t="str">
            <v>oz</v>
          </cell>
          <cell r="C76">
            <v>1</v>
          </cell>
          <cell r="D76" t="str">
            <v>Gallon</v>
          </cell>
        </row>
        <row r="77">
          <cell r="A77" t="str">
            <v>Sevin 4 F and XLR Plus</v>
          </cell>
          <cell r="B77" t="str">
            <v>qt</v>
          </cell>
          <cell r="C77">
            <v>4</v>
          </cell>
          <cell r="D77" t="str">
            <v>Gallon</v>
          </cell>
        </row>
        <row r="78">
          <cell r="A78" t="str">
            <v>Tracer</v>
          </cell>
          <cell r="B78" t="str">
            <v>oz</v>
          </cell>
          <cell r="C78">
            <v>1</v>
          </cell>
          <cell r="D78" t="str">
            <v>Gallon</v>
          </cell>
        </row>
        <row r="79">
          <cell r="A79" t="str">
            <v>Warrior</v>
          </cell>
          <cell r="B79" t="str">
            <v>oz</v>
          </cell>
          <cell r="C79">
            <v>1</v>
          </cell>
          <cell r="D79" t="str">
            <v>Gallon</v>
          </cell>
        </row>
        <row r="80">
          <cell r="A80" t="str">
            <v>Enter</v>
          </cell>
          <cell r="B80" t="str">
            <v>Enter</v>
          </cell>
          <cell r="C80">
            <v>0</v>
          </cell>
          <cell r="D80" t="str">
            <v>Enter</v>
          </cell>
        </row>
        <row r="81">
          <cell r="A81" t="str">
            <v>Enter</v>
          </cell>
          <cell r="B81" t="str">
            <v>Enter</v>
          </cell>
          <cell r="C81">
            <v>0</v>
          </cell>
          <cell r="D81" t="str">
            <v>Enter</v>
          </cell>
        </row>
        <row r="82">
          <cell r="A82" t="str">
            <v>Enter</v>
          </cell>
          <cell r="B82" t="str">
            <v>Enter</v>
          </cell>
          <cell r="C82">
            <v>0</v>
          </cell>
          <cell r="D82" t="str">
            <v>Enter</v>
          </cell>
        </row>
        <row r="83">
          <cell r="A83" t="str">
            <v>Enter</v>
          </cell>
          <cell r="B83" t="str">
            <v>Enter</v>
          </cell>
          <cell r="C83">
            <v>0</v>
          </cell>
          <cell r="D83" t="str">
            <v>Enter</v>
          </cell>
        </row>
      </sheetData>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utrient Management"/>
      <sheetName val="Corn K Calculations"/>
      <sheetName val="Soybean K Calculations"/>
      <sheetName val="Wheat K Calculations"/>
      <sheetName val="Fertilizer Products &amp; Pricing"/>
      <sheetName val="Manure and Nutrient Credits"/>
      <sheetName val="Fertilizer Plan (Corn)"/>
      <sheetName val="Fertilizer Plan (Soybean)"/>
      <sheetName val="Fertilizer Plan (Wheat)"/>
      <sheetName val="Simple Fertilizer Calculator"/>
      <sheetName val="Tri-State Recommendations"/>
      <sheetName val="Charts"/>
    </sheetNames>
    <sheetDataSet>
      <sheetData sheetId="0"/>
      <sheetData sheetId="1"/>
      <sheetData sheetId="2"/>
      <sheetData sheetId="3"/>
      <sheetData sheetId="4"/>
      <sheetData sheetId="5">
        <row r="4">
          <cell r="A4" t="str">
            <v>None</v>
          </cell>
          <cell r="B4"/>
          <cell r="C4"/>
          <cell r="D4"/>
          <cell r="E4"/>
          <cell r="F4"/>
          <cell r="G4"/>
          <cell r="H4"/>
          <cell r="I4"/>
          <cell r="J4"/>
          <cell r="K4"/>
          <cell r="L4"/>
          <cell r="M4">
            <v>1</v>
          </cell>
          <cell r="N4" t="str">
            <v>None</v>
          </cell>
          <cell r="O4">
            <v>0</v>
          </cell>
        </row>
        <row r="5">
          <cell r="A5" t="str">
            <v>Ammonium polyphosphate (10-34-0)</v>
          </cell>
          <cell r="B5">
            <v>1.17</v>
          </cell>
          <cell r="C5">
            <v>3.9780000000000002</v>
          </cell>
          <cell r="D5"/>
          <cell r="E5"/>
          <cell r="F5"/>
          <cell r="G5"/>
          <cell r="H5"/>
          <cell r="I5"/>
          <cell r="J5"/>
          <cell r="K5">
            <v>11.7</v>
          </cell>
          <cell r="L5" t="str">
            <v>gal</v>
          </cell>
          <cell r="M5">
            <v>2000</v>
          </cell>
          <cell r="N5" t="str">
            <v>Tons</v>
          </cell>
          <cell r="O5">
            <v>704</v>
          </cell>
        </row>
        <row r="6">
          <cell r="A6" t="str">
            <v>AMS (21-0-0-24S)</v>
          </cell>
          <cell r="B6">
            <v>0.21</v>
          </cell>
          <cell r="C6"/>
          <cell r="D6"/>
          <cell r="E6">
            <v>0.24</v>
          </cell>
          <cell r="F6"/>
          <cell r="G6"/>
          <cell r="H6"/>
          <cell r="I6"/>
          <cell r="J6"/>
          <cell r="K6">
            <v>1</v>
          </cell>
          <cell r="L6" t="str">
            <v>lbs</v>
          </cell>
          <cell r="M6">
            <v>2000</v>
          </cell>
          <cell r="N6" t="str">
            <v>Tons</v>
          </cell>
          <cell r="O6">
            <v>485</v>
          </cell>
        </row>
        <row r="7">
          <cell r="A7" t="str">
            <v>Anhydrous (82-0-0)</v>
          </cell>
          <cell r="B7">
            <v>0.82</v>
          </cell>
          <cell r="C7"/>
          <cell r="D7"/>
          <cell r="E7"/>
          <cell r="F7"/>
          <cell r="G7"/>
          <cell r="H7"/>
          <cell r="I7"/>
          <cell r="J7"/>
          <cell r="K7">
            <v>1</v>
          </cell>
          <cell r="L7" t="str">
            <v>lbs</v>
          </cell>
          <cell r="M7">
            <v>2000</v>
          </cell>
          <cell r="N7" t="str">
            <v>Tons</v>
          </cell>
          <cell r="O7">
            <v>950</v>
          </cell>
        </row>
        <row r="8">
          <cell r="A8" t="str">
            <v>DAP (18-46-0)</v>
          </cell>
          <cell r="B8">
            <v>0.18</v>
          </cell>
          <cell r="C8">
            <v>0.46</v>
          </cell>
          <cell r="D8"/>
          <cell r="E8"/>
          <cell r="F8"/>
          <cell r="G8"/>
          <cell r="H8"/>
          <cell r="I8"/>
          <cell r="J8"/>
          <cell r="K8">
            <v>1</v>
          </cell>
          <cell r="L8" t="str">
            <v>lbs</v>
          </cell>
          <cell r="M8">
            <v>2000</v>
          </cell>
          <cell r="N8" t="str">
            <v>Tons</v>
          </cell>
          <cell r="O8">
            <v>798</v>
          </cell>
        </row>
        <row r="9">
          <cell r="A9" t="str">
            <v>ESN (44-0-0)</v>
          </cell>
          <cell r="B9">
            <v>0.44</v>
          </cell>
          <cell r="C9"/>
          <cell r="D9"/>
          <cell r="E9"/>
          <cell r="F9"/>
          <cell r="G9"/>
          <cell r="H9"/>
          <cell r="I9"/>
          <cell r="J9"/>
          <cell r="K9">
            <v>1</v>
          </cell>
          <cell r="L9" t="str">
            <v>lbs</v>
          </cell>
          <cell r="M9">
            <v>2000</v>
          </cell>
          <cell r="N9" t="str">
            <v>Tons</v>
          </cell>
          <cell r="O9">
            <v>0</v>
          </cell>
        </row>
        <row r="10">
          <cell r="A10" t="str">
            <v>Gypsum (0-0-0-17S-21Ca)</v>
          </cell>
          <cell r="B10"/>
          <cell r="C10"/>
          <cell r="D10"/>
          <cell r="E10">
            <v>0.17</v>
          </cell>
          <cell r="F10"/>
          <cell r="G10">
            <v>0.21</v>
          </cell>
          <cell r="H10"/>
          <cell r="I10"/>
          <cell r="J10"/>
          <cell r="K10">
            <v>1</v>
          </cell>
          <cell r="L10" t="str">
            <v>lbs</v>
          </cell>
          <cell r="M10">
            <v>2000</v>
          </cell>
          <cell r="N10" t="str">
            <v>Tons</v>
          </cell>
          <cell r="O10">
            <v>0</v>
          </cell>
        </row>
        <row r="11">
          <cell r="A11" t="str">
            <v>K-Mag (0-0-22-11Mg-21S)</v>
          </cell>
          <cell r="B11"/>
          <cell r="C11"/>
          <cell r="D11">
            <v>0.22</v>
          </cell>
          <cell r="E11">
            <v>0.21</v>
          </cell>
          <cell r="F11">
            <v>0.11</v>
          </cell>
          <cell r="G11"/>
          <cell r="H11"/>
          <cell r="I11"/>
          <cell r="J11"/>
          <cell r="K11">
            <v>1</v>
          </cell>
          <cell r="L11" t="str">
            <v>lbs</v>
          </cell>
          <cell r="M11">
            <v>2000</v>
          </cell>
          <cell r="N11" t="str">
            <v>Gallons</v>
          </cell>
          <cell r="O11">
            <v>0</v>
          </cell>
        </row>
        <row r="12">
          <cell r="A12" t="str">
            <v>MAP (11-52-00)</v>
          </cell>
          <cell r="B12">
            <v>0.11</v>
          </cell>
          <cell r="C12">
            <v>0.52</v>
          </cell>
          <cell r="D12"/>
          <cell r="E12"/>
          <cell r="F12"/>
          <cell r="G12"/>
          <cell r="H12"/>
          <cell r="I12"/>
          <cell r="J12"/>
          <cell r="K12">
            <v>1</v>
          </cell>
          <cell r="L12" t="str">
            <v>lbs</v>
          </cell>
          <cell r="M12">
            <v>2000</v>
          </cell>
          <cell r="N12" t="str">
            <v>Tons</v>
          </cell>
          <cell r="O12">
            <v>0</v>
          </cell>
        </row>
        <row r="13">
          <cell r="A13" t="str">
            <v>MESZ (12-40-0-10S-1Z)</v>
          </cell>
          <cell r="B13">
            <v>0.12</v>
          </cell>
          <cell r="C13">
            <v>0.4</v>
          </cell>
          <cell r="D13"/>
          <cell r="E13">
            <v>0.1</v>
          </cell>
          <cell r="F13"/>
          <cell r="G13"/>
          <cell r="H13">
            <v>0.01</v>
          </cell>
          <cell r="I13"/>
          <cell r="J13"/>
          <cell r="K13">
            <v>1</v>
          </cell>
          <cell r="L13" t="str">
            <v>lbs</v>
          </cell>
          <cell r="M13">
            <v>2000</v>
          </cell>
          <cell r="N13" t="str">
            <v>Tons</v>
          </cell>
          <cell r="O13">
            <v>0</v>
          </cell>
        </row>
        <row r="14">
          <cell r="A14" t="str">
            <v>Potash (0-0-60)</v>
          </cell>
          <cell r="B14"/>
          <cell r="C14"/>
          <cell r="D14">
            <v>0.6</v>
          </cell>
          <cell r="E14"/>
          <cell r="F14"/>
          <cell r="G14"/>
          <cell r="H14"/>
          <cell r="I14"/>
          <cell r="J14"/>
          <cell r="K14">
            <v>1</v>
          </cell>
          <cell r="L14" t="str">
            <v>lbs</v>
          </cell>
          <cell r="M14">
            <v>2000</v>
          </cell>
          <cell r="N14" t="str">
            <v>Tons</v>
          </cell>
          <cell r="O14">
            <v>690</v>
          </cell>
        </row>
        <row r="15">
          <cell r="A15" t="str">
            <v>Potassium Acetate (0-0-24)</v>
          </cell>
          <cell r="B15"/>
          <cell r="C15"/>
          <cell r="D15">
            <v>0.24</v>
          </cell>
          <cell r="E15"/>
          <cell r="F15"/>
          <cell r="G15"/>
          <cell r="H15"/>
          <cell r="I15"/>
          <cell r="J15"/>
          <cell r="K15">
            <v>10.65</v>
          </cell>
          <cell r="L15" t="str">
            <v>gal</v>
          </cell>
          <cell r="M15">
            <v>2000</v>
          </cell>
          <cell r="N15" t="str">
            <v>Gallons</v>
          </cell>
          <cell r="O15">
            <v>0</v>
          </cell>
        </row>
        <row r="16">
          <cell r="A16" t="str">
            <v>Potassium Sulphate (0-0-52-18S)</v>
          </cell>
          <cell r="B16"/>
          <cell r="C16"/>
          <cell r="D16">
            <v>0.52</v>
          </cell>
          <cell r="E16">
            <v>0.18</v>
          </cell>
          <cell r="F16"/>
          <cell r="G16"/>
          <cell r="H16"/>
          <cell r="I16"/>
          <cell r="J16"/>
          <cell r="K16">
            <v>1</v>
          </cell>
          <cell r="L16" t="str">
            <v>lbs</v>
          </cell>
          <cell r="M16">
            <v>2000</v>
          </cell>
          <cell r="N16" t="str">
            <v>Tons</v>
          </cell>
          <cell r="O16">
            <v>0</v>
          </cell>
        </row>
        <row r="17">
          <cell r="A17" t="str">
            <v>SuperU (46-0-0)</v>
          </cell>
          <cell r="B17">
            <v>0.46</v>
          </cell>
          <cell r="C17"/>
          <cell r="D17"/>
          <cell r="E17"/>
          <cell r="F17"/>
          <cell r="G17"/>
          <cell r="H17"/>
          <cell r="I17"/>
          <cell r="J17"/>
          <cell r="K17">
            <v>1</v>
          </cell>
          <cell r="L17" t="str">
            <v>lbs</v>
          </cell>
          <cell r="M17">
            <v>2000</v>
          </cell>
          <cell r="N17" t="str">
            <v>Tons</v>
          </cell>
          <cell r="O17">
            <v>0</v>
          </cell>
        </row>
        <row r="18">
          <cell r="A18" t="str">
            <v>Thiosul (12-0-0-26)</v>
          </cell>
          <cell r="B18">
            <v>1.3247999999999998</v>
          </cell>
          <cell r="C18"/>
          <cell r="D18"/>
          <cell r="E18">
            <v>2.8704000000000001</v>
          </cell>
          <cell r="F18"/>
          <cell r="G18"/>
          <cell r="H18"/>
          <cell r="I18"/>
          <cell r="J18"/>
          <cell r="K18">
            <v>11.04</v>
          </cell>
          <cell r="L18" t="str">
            <v>gal</v>
          </cell>
          <cell r="M18">
            <v>2000</v>
          </cell>
          <cell r="N18" t="str">
            <v>Tons</v>
          </cell>
          <cell r="O18">
            <v>0</v>
          </cell>
        </row>
        <row r="19">
          <cell r="A19" t="str">
            <v>Triple Superphosphate (0-46-0)</v>
          </cell>
          <cell r="B19"/>
          <cell r="C19">
            <v>0.46</v>
          </cell>
          <cell r="D19"/>
          <cell r="E19"/>
          <cell r="F19"/>
          <cell r="G19"/>
          <cell r="H19"/>
          <cell r="I19"/>
          <cell r="J19"/>
          <cell r="K19">
            <v>1</v>
          </cell>
          <cell r="L19" t="str">
            <v>lbs</v>
          </cell>
          <cell r="M19">
            <v>2000</v>
          </cell>
          <cell r="N19" t="str">
            <v>Tons</v>
          </cell>
          <cell r="O19">
            <v>0</v>
          </cell>
        </row>
        <row r="20">
          <cell r="A20" t="str">
            <v>UAN 28% (28-0-0)</v>
          </cell>
          <cell r="B20">
            <v>2.9876000000000005</v>
          </cell>
          <cell r="C20"/>
          <cell r="D20"/>
          <cell r="E20"/>
          <cell r="F20"/>
          <cell r="G20"/>
          <cell r="H20"/>
          <cell r="I20"/>
          <cell r="J20"/>
          <cell r="K20">
            <v>10.67</v>
          </cell>
          <cell r="L20" t="str">
            <v>gal</v>
          </cell>
          <cell r="M20">
            <v>2000</v>
          </cell>
          <cell r="N20" t="str">
            <v>Tons</v>
          </cell>
          <cell r="O20">
            <v>399</v>
          </cell>
        </row>
        <row r="21">
          <cell r="A21" t="str">
            <v>UAN 32% (32-0-0)</v>
          </cell>
          <cell r="B21">
            <v>3.5392000000000001</v>
          </cell>
          <cell r="C21"/>
          <cell r="D21"/>
          <cell r="E21"/>
          <cell r="F21"/>
          <cell r="G21"/>
          <cell r="H21"/>
          <cell r="I21"/>
          <cell r="J21"/>
          <cell r="K21">
            <v>11.06</v>
          </cell>
          <cell r="L21" t="str">
            <v>gal</v>
          </cell>
          <cell r="M21">
            <v>2000</v>
          </cell>
          <cell r="N21" t="str">
            <v>Tons</v>
          </cell>
          <cell r="O21">
            <v>0</v>
          </cell>
        </row>
        <row r="22">
          <cell r="A22" t="str">
            <v>Urea (46-0-0)</v>
          </cell>
          <cell r="B22">
            <v>0.46</v>
          </cell>
          <cell r="C22"/>
          <cell r="D22"/>
          <cell r="E22"/>
          <cell r="F22"/>
          <cell r="G22"/>
          <cell r="H22"/>
          <cell r="I22"/>
          <cell r="J22"/>
          <cell r="K22">
            <v>1</v>
          </cell>
          <cell r="L22" t="str">
            <v>lbs</v>
          </cell>
          <cell r="M22">
            <v>2000</v>
          </cell>
          <cell r="N22" t="str">
            <v>Tons</v>
          </cell>
          <cell r="O22">
            <v>750</v>
          </cell>
        </row>
        <row r="23">
          <cell r="A23" t="str">
            <v>9-18-9 (liquid)</v>
          </cell>
          <cell r="B23">
            <v>0.98730000000000007</v>
          </cell>
          <cell r="C23">
            <v>1.9746000000000001</v>
          </cell>
          <cell r="D23">
            <v>0.98730000000000007</v>
          </cell>
          <cell r="E23"/>
          <cell r="F23"/>
          <cell r="G23"/>
          <cell r="H23"/>
          <cell r="I23"/>
          <cell r="J23"/>
          <cell r="K23">
            <v>10.97</v>
          </cell>
          <cell r="L23" t="str">
            <v>gal</v>
          </cell>
          <cell r="M23">
            <v>1</v>
          </cell>
          <cell r="N23" t="str">
            <v>Gallons</v>
          </cell>
          <cell r="O23">
            <v>0</v>
          </cell>
        </row>
        <row r="24">
          <cell r="A24" t="str">
            <v>6-24-6 (liquid)</v>
          </cell>
          <cell r="B24">
            <v>0.66539999999999999</v>
          </cell>
          <cell r="C24">
            <v>2.6616</v>
          </cell>
          <cell r="D24">
            <v>0.66539999999999999</v>
          </cell>
          <cell r="E24"/>
          <cell r="F24"/>
          <cell r="G24"/>
          <cell r="H24"/>
          <cell r="I24"/>
          <cell r="J24"/>
          <cell r="K24">
            <v>11.09</v>
          </cell>
          <cell r="L24" t="str">
            <v>gal</v>
          </cell>
          <cell r="M24">
            <v>1</v>
          </cell>
          <cell r="N24" t="str">
            <v>Gallons</v>
          </cell>
          <cell r="O24">
            <v>0</v>
          </cell>
        </row>
        <row r="25">
          <cell r="A25" t="str">
            <v>6-12-12 (dry)</v>
          </cell>
          <cell r="B25">
            <v>0.06</v>
          </cell>
          <cell r="C25">
            <v>0.12</v>
          </cell>
          <cell r="D25">
            <v>0.12</v>
          </cell>
          <cell r="E25"/>
          <cell r="F25"/>
          <cell r="G25"/>
          <cell r="H25"/>
          <cell r="I25"/>
          <cell r="J25"/>
          <cell r="K25">
            <v>1</v>
          </cell>
          <cell r="L25" t="str">
            <v>lbs</v>
          </cell>
          <cell r="M25">
            <v>2000</v>
          </cell>
          <cell r="N25" t="str">
            <v>Tons</v>
          </cell>
          <cell r="O25">
            <v>0</v>
          </cell>
        </row>
        <row r="26">
          <cell r="A26" t="str">
            <v>5-10-5 (dry)</v>
          </cell>
          <cell r="B26">
            <v>0.05</v>
          </cell>
          <cell r="C26">
            <v>0.1</v>
          </cell>
          <cell r="D26">
            <v>0.05</v>
          </cell>
          <cell r="E26"/>
          <cell r="F26"/>
          <cell r="G26"/>
          <cell r="H26"/>
          <cell r="I26"/>
          <cell r="J26"/>
          <cell r="K26">
            <v>1</v>
          </cell>
          <cell r="L26" t="str">
            <v>lbs</v>
          </cell>
          <cell r="M26">
            <v>2000</v>
          </cell>
          <cell r="N26" t="str">
            <v>Tons</v>
          </cell>
          <cell r="O26">
            <v>0</v>
          </cell>
        </row>
        <row r="27">
          <cell r="A27" t="str">
            <v>3-18-18 (liquid)</v>
          </cell>
          <cell r="B27">
            <v>0.35099999999999998</v>
          </cell>
          <cell r="C27">
            <v>2.1059999999999999</v>
          </cell>
          <cell r="D27">
            <v>2.1059999999999999</v>
          </cell>
          <cell r="E27"/>
          <cell r="F27"/>
          <cell r="G27"/>
          <cell r="H27"/>
          <cell r="I27"/>
          <cell r="J27"/>
          <cell r="K27">
            <v>11.7</v>
          </cell>
          <cell r="L27" t="str">
            <v>gal</v>
          </cell>
          <cell r="M27">
            <v>1</v>
          </cell>
          <cell r="N27" t="str">
            <v>Gallons</v>
          </cell>
          <cell r="O27">
            <v>0</v>
          </cell>
        </row>
        <row r="28">
          <cell r="A28" t="str">
            <v>19-19-19 (dry)</v>
          </cell>
          <cell r="B28">
            <v>0.19</v>
          </cell>
          <cell r="C28">
            <v>0.19</v>
          </cell>
          <cell r="D28">
            <v>0.19</v>
          </cell>
          <cell r="E28"/>
          <cell r="F28"/>
          <cell r="G28"/>
          <cell r="H28"/>
          <cell r="I28"/>
          <cell r="J28"/>
          <cell r="K28">
            <v>1</v>
          </cell>
          <cell r="L28" t="str">
            <v>lbs</v>
          </cell>
          <cell r="M28">
            <v>2000</v>
          </cell>
          <cell r="N28" t="str">
            <v>Tons</v>
          </cell>
          <cell r="O28">
            <v>0</v>
          </cell>
        </row>
        <row r="29">
          <cell r="A29" t="str">
            <v>15-15-2 (liquid)</v>
          </cell>
          <cell r="B29">
            <v>1.738</v>
          </cell>
          <cell r="C29">
            <v>1.65</v>
          </cell>
          <cell r="D29">
            <v>0.22</v>
          </cell>
          <cell r="E29"/>
          <cell r="F29"/>
          <cell r="G29"/>
          <cell r="H29"/>
          <cell r="I29"/>
          <cell r="J29"/>
          <cell r="K29">
            <v>11</v>
          </cell>
          <cell r="L29" t="str">
            <v>gal</v>
          </cell>
          <cell r="M29">
            <v>1</v>
          </cell>
          <cell r="N29" t="str">
            <v>Gallons</v>
          </cell>
          <cell r="O29">
            <v>0</v>
          </cell>
        </row>
        <row r="30">
          <cell r="A30" t="str">
            <v>15-15-15 (dry)</v>
          </cell>
          <cell r="B30">
            <v>0.15</v>
          </cell>
          <cell r="C30">
            <v>0.15</v>
          </cell>
          <cell r="D30">
            <v>0.15</v>
          </cell>
          <cell r="E30"/>
          <cell r="F30"/>
          <cell r="G30"/>
          <cell r="H30"/>
          <cell r="I30"/>
          <cell r="J30"/>
          <cell r="K30">
            <v>1</v>
          </cell>
          <cell r="L30" t="str">
            <v>lbs</v>
          </cell>
          <cell r="M30">
            <v>2000</v>
          </cell>
          <cell r="N30" t="str">
            <v>Tons</v>
          </cell>
          <cell r="O30">
            <v>0</v>
          </cell>
        </row>
        <row r="31">
          <cell r="A31" t="str">
            <v>12-24-24 (dry)</v>
          </cell>
          <cell r="B31">
            <v>0.12</v>
          </cell>
          <cell r="C31">
            <v>0.24</v>
          </cell>
          <cell r="D31">
            <v>0.24</v>
          </cell>
          <cell r="E31"/>
          <cell r="F31"/>
          <cell r="G31"/>
          <cell r="H31"/>
          <cell r="I31"/>
          <cell r="J31"/>
          <cell r="K31">
            <v>1</v>
          </cell>
          <cell r="L31" t="str">
            <v>lbs</v>
          </cell>
          <cell r="M31">
            <v>2000</v>
          </cell>
          <cell r="N31" t="str">
            <v>Tons</v>
          </cell>
          <cell r="O31">
            <v>0</v>
          </cell>
        </row>
        <row r="32">
          <cell r="A32" t="str">
            <v>10-10-10 (dry)</v>
          </cell>
          <cell r="B32">
            <v>0.1</v>
          </cell>
          <cell r="C32">
            <v>0.1</v>
          </cell>
          <cell r="D32">
            <v>0.1</v>
          </cell>
          <cell r="E32"/>
          <cell r="F32"/>
          <cell r="G32"/>
          <cell r="H32"/>
          <cell r="I32"/>
          <cell r="J32"/>
          <cell r="K32">
            <v>1</v>
          </cell>
          <cell r="L32" t="str">
            <v>lbs</v>
          </cell>
          <cell r="M32">
            <v>2000</v>
          </cell>
          <cell r="N32" t="str">
            <v>Tons</v>
          </cell>
          <cell r="O32">
            <v>0</v>
          </cell>
        </row>
        <row r="33">
          <cell r="A33" t="str">
            <v>Manure (solid)</v>
          </cell>
          <cell r="B33">
            <v>4.2</v>
          </cell>
          <cell r="C33">
            <v>7.5</v>
          </cell>
          <cell r="D33">
            <v>5.7</v>
          </cell>
          <cell r="E33">
            <v>0.8</v>
          </cell>
          <cell r="F33"/>
          <cell r="G33"/>
          <cell r="H33"/>
          <cell r="I33"/>
          <cell r="J33"/>
          <cell r="K33">
            <v>2000</v>
          </cell>
          <cell r="L33" t="str">
            <v>Tons</v>
          </cell>
          <cell r="M33">
            <v>2000</v>
          </cell>
          <cell r="N33" t="str">
            <v>Tons</v>
          </cell>
          <cell r="O33">
            <v>0</v>
          </cell>
        </row>
        <row r="34">
          <cell r="A34" t="str">
            <v>Manure (liquid)</v>
          </cell>
          <cell r="B34">
            <v>4.3</v>
          </cell>
          <cell r="C34">
            <v>1.7000000000000002</v>
          </cell>
          <cell r="D34">
            <v>3.8000000000000003</v>
          </cell>
          <cell r="E34">
            <v>1</v>
          </cell>
          <cell r="F34"/>
          <cell r="G34"/>
          <cell r="H34"/>
          <cell r="I34"/>
          <cell r="J34"/>
          <cell r="K34">
            <v>1</v>
          </cell>
          <cell r="L34" t="str">
            <v>1,000 gal</v>
          </cell>
          <cell r="M34">
            <v>1</v>
          </cell>
          <cell r="N34" t="str">
            <v>Gallons</v>
          </cell>
          <cell r="O34">
            <v>0</v>
          </cell>
        </row>
        <row r="35">
          <cell r="A35" t="str">
            <v>Compost</v>
          </cell>
          <cell r="B35">
            <v>0</v>
          </cell>
          <cell r="C35">
            <v>0</v>
          </cell>
          <cell r="D35">
            <v>0</v>
          </cell>
          <cell r="E35">
            <v>0</v>
          </cell>
          <cell r="F35">
            <v>0</v>
          </cell>
          <cell r="G35">
            <v>0</v>
          </cell>
          <cell r="H35">
            <v>0</v>
          </cell>
          <cell r="I35">
            <v>0</v>
          </cell>
          <cell r="J35">
            <v>0</v>
          </cell>
          <cell r="K35">
            <v>0</v>
          </cell>
          <cell r="L35" t="str">
            <v>Enter</v>
          </cell>
          <cell r="M35">
            <v>0</v>
          </cell>
          <cell r="N35" t="str">
            <v>Enter</v>
          </cell>
          <cell r="O35">
            <v>0</v>
          </cell>
        </row>
        <row r="36">
          <cell r="A36" t="str">
            <v>Enter</v>
          </cell>
          <cell r="B36">
            <v>0</v>
          </cell>
          <cell r="C36">
            <v>0</v>
          </cell>
          <cell r="D36">
            <v>0</v>
          </cell>
          <cell r="E36">
            <v>0</v>
          </cell>
          <cell r="F36">
            <v>0</v>
          </cell>
          <cell r="G36">
            <v>0</v>
          </cell>
          <cell r="H36">
            <v>0</v>
          </cell>
          <cell r="I36">
            <v>0</v>
          </cell>
          <cell r="J36">
            <v>0</v>
          </cell>
          <cell r="K36">
            <v>0</v>
          </cell>
          <cell r="L36" t="str">
            <v>Enter</v>
          </cell>
          <cell r="M36">
            <v>0</v>
          </cell>
          <cell r="N36" t="str">
            <v>Enter</v>
          </cell>
          <cell r="O36">
            <v>0</v>
          </cell>
        </row>
        <row r="37">
          <cell r="A37" t="str">
            <v>Enter</v>
          </cell>
          <cell r="B37">
            <v>0</v>
          </cell>
          <cell r="C37">
            <v>0</v>
          </cell>
          <cell r="D37">
            <v>0</v>
          </cell>
          <cell r="E37">
            <v>0</v>
          </cell>
          <cell r="F37">
            <v>0</v>
          </cell>
          <cell r="G37">
            <v>0</v>
          </cell>
          <cell r="H37">
            <v>0</v>
          </cell>
          <cell r="I37">
            <v>0</v>
          </cell>
          <cell r="J37">
            <v>0</v>
          </cell>
          <cell r="K37">
            <v>0</v>
          </cell>
          <cell r="L37" t="str">
            <v>Enter</v>
          </cell>
          <cell r="M37">
            <v>0</v>
          </cell>
          <cell r="N37" t="str">
            <v>Enter</v>
          </cell>
          <cell r="O37">
            <v>0</v>
          </cell>
        </row>
        <row r="38">
          <cell r="A38" t="str">
            <v>Enter</v>
          </cell>
          <cell r="B38">
            <v>0</v>
          </cell>
          <cell r="C38">
            <v>0</v>
          </cell>
          <cell r="D38">
            <v>0</v>
          </cell>
          <cell r="E38">
            <v>0</v>
          </cell>
          <cell r="F38">
            <v>0</v>
          </cell>
          <cell r="G38">
            <v>0</v>
          </cell>
          <cell r="H38">
            <v>0</v>
          </cell>
          <cell r="I38">
            <v>0</v>
          </cell>
          <cell r="J38">
            <v>0</v>
          </cell>
          <cell r="K38">
            <v>0</v>
          </cell>
          <cell r="L38" t="str">
            <v>Enter</v>
          </cell>
          <cell r="M38">
            <v>0</v>
          </cell>
          <cell r="N38" t="str">
            <v>Enter</v>
          </cell>
          <cell r="O38">
            <v>0</v>
          </cell>
        </row>
        <row r="39">
          <cell r="A39" t="str">
            <v>Enter</v>
          </cell>
          <cell r="B39">
            <v>0</v>
          </cell>
          <cell r="C39">
            <v>0</v>
          </cell>
          <cell r="D39">
            <v>0</v>
          </cell>
          <cell r="E39">
            <v>0</v>
          </cell>
          <cell r="F39">
            <v>0</v>
          </cell>
          <cell r="G39">
            <v>0</v>
          </cell>
          <cell r="H39">
            <v>0</v>
          </cell>
          <cell r="I39">
            <v>0</v>
          </cell>
          <cell r="J39">
            <v>0</v>
          </cell>
          <cell r="K39">
            <v>0</v>
          </cell>
          <cell r="L39" t="str">
            <v>Enter</v>
          </cell>
          <cell r="M39">
            <v>0</v>
          </cell>
          <cell r="N39" t="str">
            <v>Enter</v>
          </cell>
          <cell r="O39">
            <v>0</v>
          </cell>
        </row>
        <row r="43">
          <cell r="A43" t="str">
            <v>None</v>
          </cell>
          <cell r="B43"/>
          <cell r="C43"/>
          <cell r="D43"/>
          <cell r="E43"/>
          <cell r="F43"/>
          <cell r="G43"/>
          <cell r="H43"/>
          <cell r="I43"/>
          <cell r="J43"/>
          <cell r="K43"/>
          <cell r="L43"/>
          <cell r="M43">
            <v>1</v>
          </cell>
          <cell r="N43" t="str">
            <v>None</v>
          </cell>
          <cell r="O43">
            <v>0</v>
          </cell>
        </row>
        <row r="44">
          <cell r="A44" t="str">
            <v>Boron (14.3%)</v>
          </cell>
          <cell r="B44"/>
          <cell r="C44"/>
          <cell r="D44"/>
          <cell r="E44"/>
          <cell r="F44"/>
          <cell r="G44"/>
          <cell r="H44"/>
          <cell r="I44">
            <v>0.14299999999999999</v>
          </cell>
          <cell r="J44"/>
          <cell r="K44">
            <v>1</v>
          </cell>
          <cell r="L44" t="str">
            <v>lbs</v>
          </cell>
          <cell r="M44">
            <v>1</v>
          </cell>
          <cell r="N44" t="str">
            <v>Pound</v>
          </cell>
          <cell r="O44">
            <v>0</v>
          </cell>
        </row>
        <row r="45">
          <cell r="A45" t="str">
            <v>Zinc (35.5%)</v>
          </cell>
          <cell r="B45"/>
          <cell r="C45"/>
          <cell r="D45"/>
          <cell r="E45"/>
          <cell r="F45"/>
          <cell r="G45"/>
          <cell r="H45">
            <v>0.35499999999999998</v>
          </cell>
          <cell r="I45"/>
          <cell r="J45"/>
          <cell r="K45">
            <v>1</v>
          </cell>
          <cell r="L45" t="str">
            <v>lbs</v>
          </cell>
          <cell r="M45">
            <v>1</v>
          </cell>
          <cell r="N45" t="str">
            <v>Pound</v>
          </cell>
          <cell r="O45">
            <v>0</v>
          </cell>
        </row>
        <row r="46">
          <cell r="A46" t="str">
            <v>Zinc Liquid (12-0-0-12zn)</v>
          </cell>
          <cell r="B46">
            <v>0.318</v>
          </cell>
          <cell r="C46"/>
          <cell r="D46"/>
          <cell r="E46"/>
          <cell r="F46"/>
          <cell r="G46"/>
          <cell r="H46">
            <v>0.318</v>
          </cell>
          <cell r="I46"/>
          <cell r="J46"/>
          <cell r="K46">
            <v>1</v>
          </cell>
          <cell r="L46" t="str">
            <v>qts</v>
          </cell>
          <cell r="M46">
            <v>4</v>
          </cell>
          <cell r="N46" t="str">
            <v>Gallons</v>
          </cell>
          <cell r="O46">
            <v>0</v>
          </cell>
        </row>
        <row r="47">
          <cell r="A47" t="str">
            <v>Boron Liquid (0-0-0-10B)</v>
          </cell>
          <cell r="B47"/>
          <cell r="C47"/>
          <cell r="D47"/>
          <cell r="E47"/>
          <cell r="F47"/>
          <cell r="G47"/>
          <cell r="H47"/>
          <cell r="I47">
            <v>0.27799999999999997</v>
          </cell>
          <cell r="J47"/>
          <cell r="K47">
            <v>1</v>
          </cell>
          <cell r="L47" t="str">
            <v>qts</v>
          </cell>
          <cell r="M47">
            <v>4</v>
          </cell>
          <cell r="N47" t="str">
            <v>Gallons</v>
          </cell>
          <cell r="O47">
            <v>0</v>
          </cell>
        </row>
        <row r="48">
          <cell r="A48" t="str">
            <v>Manganese Sulfate</v>
          </cell>
          <cell r="B48"/>
          <cell r="C48"/>
          <cell r="D48"/>
          <cell r="E48">
            <v>0.18</v>
          </cell>
          <cell r="F48"/>
          <cell r="G48"/>
          <cell r="H48"/>
          <cell r="I48"/>
          <cell r="J48">
            <v>0.33</v>
          </cell>
          <cell r="K48">
            <v>1</v>
          </cell>
          <cell r="L48" t="str">
            <v>lbs</v>
          </cell>
          <cell r="M48">
            <v>1</v>
          </cell>
          <cell r="N48" t="str">
            <v>Pound</v>
          </cell>
          <cell r="O48">
            <v>0</v>
          </cell>
        </row>
        <row r="49">
          <cell r="A49" t="str">
            <v>Zinc Sulphate</v>
          </cell>
          <cell r="B49">
            <v>35.5</v>
          </cell>
          <cell r="C49"/>
          <cell r="D49"/>
          <cell r="E49">
            <v>0.185</v>
          </cell>
          <cell r="F49"/>
          <cell r="G49"/>
          <cell r="H49"/>
          <cell r="I49"/>
          <cell r="J49"/>
          <cell r="K49">
            <v>1</v>
          </cell>
          <cell r="L49" t="str">
            <v>lbs</v>
          </cell>
          <cell r="M49">
            <v>1</v>
          </cell>
          <cell r="N49" t="str">
            <v>Pound</v>
          </cell>
          <cell r="O49">
            <v>0</v>
          </cell>
        </row>
        <row r="50">
          <cell r="A50" t="str">
            <v>Magnesium Sulfate</v>
          </cell>
          <cell r="B50"/>
          <cell r="C50"/>
          <cell r="D50"/>
          <cell r="E50">
            <v>0.14000000000000001</v>
          </cell>
          <cell r="F50">
            <v>9.0999999999999998E-2</v>
          </cell>
          <cell r="G50"/>
          <cell r="H50"/>
          <cell r="I50"/>
          <cell r="J50"/>
          <cell r="K50">
            <v>1</v>
          </cell>
          <cell r="L50" t="str">
            <v>lbs</v>
          </cell>
          <cell r="M50">
            <v>1</v>
          </cell>
          <cell r="N50" t="str">
            <v>Pound</v>
          </cell>
          <cell r="O50">
            <v>0</v>
          </cell>
        </row>
        <row r="51">
          <cell r="A51" t="str">
            <v>Borosol 10</v>
          </cell>
          <cell r="B51"/>
          <cell r="C51"/>
          <cell r="D51"/>
          <cell r="E51"/>
          <cell r="F51"/>
          <cell r="G51"/>
          <cell r="H51"/>
          <cell r="I51">
            <v>0.1</v>
          </cell>
          <cell r="J51"/>
          <cell r="K51">
            <v>11.09</v>
          </cell>
          <cell r="L51" t="str">
            <v>gal</v>
          </cell>
          <cell r="M51">
            <v>1</v>
          </cell>
          <cell r="N51" t="str">
            <v>Gallons</v>
          </cell>
          <cell r="O51">
            <v>0</v>
          </cell>
        </row>
        <row r="52">
          <cell r="A52" t="str">
            <v>EDTA ZN (9%)</v>
          </cell>
          <cell r="B52">
            <v>0.04</v>
          </cell>
          <cell r="C52"/>
          <cell r="D52"/>
          <cell r="E52"/>
          <cell r="F52"/>
          <cell r="G52"/>
          <cell r="H52">
            <v>0.09</v>
          </cell>
          <cell r="I52"/>
          <cell r="J52"/>
          <cell r="K52">
            <v>10.9</v>
          </cell>
          <cell r="L52" t="str">
            <v>gal</v>
          </cell>
          <cell r="M52">
            <v>1</v>
          </cell>
          <cell r="N52" t="str">
            <v>Gallons</v>
          </cell>
          <cell r="O52">
            <v>0</v>
          </cell>
        </row>
        <row r="53">
          <cell r="A53" t="str">
            <v>Enter</v>
          </cell>
          <cell r="B53">
            <v>0</v>
          </cell>
          <cell r="C53">
            <v>0</v>
          </cell>
          <cell r="D53">
            <v>0</v>
          </cell>
          <cell r="E53">
            <v>0</v>
          </cell>
          <cell r="F53">
            <v>0</v>
          </cell>
          <cell r="G53">
            <v>0</v>
          </cell>
          <cell r="H53">
            <v>0</v>
          </cell>
          <cell r="I53">
            <v>0</v>
          </cell>
          <cell r="J53">
            <v>0</v>
          </cell>
          <cell r="K53">
            <v>0</v>
          </cell>
          <cell r="L53" t="str">
            <v>Enter</v>
          </cell>
          <cell r="M53">
            <v>0</v>
          </cell>
          <cell r="N53" t="str">
            <v>Enter</v>
          </cell>
          <cell r="O53">
            <v>0</v>
          </cell>
        </row>
        <row r="54">
          <cell r="A54" t="str">
            <v>Enter</v>
          </cell>
          <cell r="B54">
            <v>0</v>
          </cell>
          <cell r="C54">
            <v>0</v>
          </cell>
          <cell r="D54">
            <v>0</v>
          </cell>
          <cell r="E54">
            <v>0</v>
          </cell>
          <cell r="F54">
            <v>0</v>
          </cell>
          <cell r="G54">
            <v>0</v>
          </cell>
          <cell r="H54">
            <v>0</v>
          </cell>
          <cell r="I54">
            <v>0</v>
          </cell>
          <cell r="J54">
            <v>0</v>
          </cell>
          <cell r="K54">
            <v>0</v>
          </cell>
          <cell r="L54" t="str">
            <v>Enter</v>
          </cell>
          <cell r="M54">
            <v>0</v>
          </cell>
          <cell r="N54" t="str">
            <v>Enter</v>
          </cell>
          <cell r="O54">
            <v>0</v>
          </cell>
        </row>
        <row r="55">
          <cell r="A55" t="str">
            <v>Enter</v>
          </cell>
          <cell r="B55">
            <v>0</v>
          </cell>
          <cell r="C55">
            <v>0</v>
          </cell>
          <cell r="D55">
            <v>0</v>
          </cell>
          <cell r="E55">
            <v>0</v>
          </cell>
          <cell r="F55">
            <v>0</v>
          </cell>
          <cell r="G55">
            <v>0</v>
          </cell>
          <cell r="H55">
            <v>0</v>
          </cell>
          <cell r="I55">
            <v>0</v>
          </cell>
          <cell r="J55">
            <v>0</v>
          </cell>
          <cell r="K55">
            <v>0</v>
          </cell>
          <cell r="L55" t="str">
            <v>Enter</v>
          </cell>
          <cell r="M55">
            <v>0</v>
          </cell>
          <cell r="N55" t="str">
            <v>Enter</v>
          </cell>
          <cell r="O55">
            <v>0</v>
          </cell>
        </row>
        <row r="56">
          <cell r="A56" t="str">
            <v>Enter</v>
          </cell>
          <cell r="B56">
            <v>0</v>
          </cell>
          <cell r="C56">
            <v>0</v>
          </cell>
          <cell r="D56">
            <v>0</v>
          </cell>
          <cell r="E56">
            <v>0</v>
          </cell>
          <cell r="F56">
            <v>0</v>
          </cell>
          <cell r="G56">
            <v>0</v>
          </cell>
          <cell r="H56">
            <v>0</v>
          </cell>
          <cell r="I56">
            <v>0</v>
          </cell>
          <cell r="J56">
            <v>0</v>
          </cell>
          <cell r="K56">
            <v>0</v>
          </cell>
          <cell r="L56" t="str">
            <v>Enter</v>
          </cell>
          <cell r="M56">
            <v>0</v>
          </cell>
          <cell r="N56" t="str">
            <v>Enter</v>
          </cell>
          <cell r="O56">
            <v>0</v>
          </cell>
        </row>
        <row r="60">
          <cell r="A60" t="str">
            <v>None</v>
          </cell>
          <cell r="B60"/>
          <cell r="C60"/>
          <cell r="D60"/>
          <cell r="E60"/>
          <cell r="F60"/>
          <cell r="G60"/>
          <cell r="H60"/>
          <cell r="I60"/>
          <cell r="J60"/>
          <cell r="K60"/>
          <cell r="L60"/>
          <cell r="M60">
            <v>1</v>
          </cell>
          <cell r="N60" t="str">
            <v>None</v>
          </cell>
          <cell r="O60">
            <v>0</v>
          </cell>
        </row>
        <row r="61">
          <cell r="A61" t="str">
            <v>Pelleted Lime</v>
          </cell>
          <cell r="B61"/>
          <cell r="C61"/>
          <cell r="D61"/>
          <cell r="E61"/>
          <cell r="F61">
            <v>0.03</v>
          </cell>
          <cell r="G61">
            <v>0.22</v>
          </cell>
          <cell r="H61"/>
          <cell r="I61"/>
          <cell r="J61"/>
          <cell r="K61">
            <v>1</v>
          </cell>
          <cell r="L61" t="str">
            <v>lbs</v>
          </cell>
          <cell r="M61">
            <v>2000</v>
          </cell>
          <cell r="N61" t="str">
            <v>Ton</v>
          </cell>
          <cell r="O61">
            <v>0</v>
          </cell>
        </row>
        <row r="62">
          <cell r="A62" t="str">
            <v>Sugar Beet Lime</v>
          </cell>
          <cell r="B62">
            <v>0.55000000000000004</v>
          </cell>
          <cell r="C62">
            <v>0.01</v>
          </cell>
          <cell r="D62">
            <v>3.5999999999999999E-3</v>
          </cell>
          <cell r="E62"/>
          <cell r="F62"/>
          <cell r="G62">
            <v>29</v>
          </cell>
          <cell r="H62"/>
          <cell r="I62"/>
          <cell r="J62"/>
          <cell r="K62">
            <v>1</v>
          </cell>
          <cell r="L62" t="str">
            <v>tons</v>
          </cell>
          <cell r="M62">
            <v>1</v>
          </cell>
          <cell r="N62" t="str">
            <v>Ton</v>
          </cell>
          <cell r="O62">
            <v>0</v>
          </cell>
        </row>
        <row r="63">
          <cell r="A63" t="str">
            <v>Dolometic</v>
          </cell>
          <cell r="B63"/>
          <cell r="C63"/>
          <cell r="D63"/>
          <cell r="E63"/>
          <cell r="F63">
            <v>11</v>
          </cell>
          <cell r="G63">
            <v>42</v>
          </cell>
          <cell r="H63"/>
          <cell r="I63"/>
          <cell r="J63"/>
          <cell r="K63">
            <v>1</v>
          </cell>
          <cell r="L63" t="str">
            <v>tons</v>
          </cell>
          <cell r="M63">
            <v>1</v>
          </cell>
          <cell r="N63" t="str">
            <v>Ton</v>
          </cell>
          <cell r="O63">
            <v>0</v>
          </cell>
        </row>
        <row r="64">
          <cell r="A64" t="str">
            <v>High Calcium</v>
          </cell>
          <cell r="B64"/>
          <cell r="C64"/>
          <cell r="D64"/>
          <cell r="E64"/>
          <cell r="F64"/>
          <cell r="G64">
            <v>80</v>
          </cell>
          <cell r="H64"/>
          <cell r="I64"/>
          <cell r="J64"/>
          <cell r="K64">
            <v>1</v>
          </cell>
          <cell r="L64" t="str">
            <v>tons</v>
          </cell>
          <cell r="M64">
            <v>1</v>
          </cell>
          <cell r="N64" t="str">
            <v>Ton</v>
          </cell>
          <cell r="O64">
            <v>0</v>
          </cell>
        </row>
        <row r="65">
          <cell r="A65" t="str">
            <v>Enter</v>
          </cell>
          <cell r="B65">
            <v>0</v>
          </cell>
          <cell r="C65">
            <v>0</v>
          </cell>
          <cell r="D65">
            <v>0</v>
          </cell>
          <cell r="E65">
            <v>0</v>
          </cell>
          <cell r="F65">
            <v>0</v>
          </cell>
          <cell r="G65">
            <v>0</v>
          </cell>
          <cell r="H65">
            <v>0</v>
          </cell>
          <cell r="I65">
            <v>0</v>
          </cell>
          <cell r="J65">
            <v>0</v>
          </cell>
          <cell r="K65">
            <v>0</v>
          </cell>
          <cell r="L65" t="str">
            <v>Enter</v>
          </cell>
          <cell r="M65">
            <v>0</v>
          </cell>
          <cell r="N65" t="str">
            <v>Enter</v>
          </cell>
          <cell r="O65">
            <v>0</v>
          </cell>
        </row>
        <row r="66">
          <cell r="A66" t="str">
            <v>Enter</v>
          </cell>
          <cell r="B66">
            <v>0</v>
          </cell>
          <cell r="C66">
            <v>0</v>
          </cell>
          <cell r="D66">
            <v>0</v>
          </cell>
          <cell r="E66">
            <v>0</v>
          </cell>
          <cell r="F66">
            <v>0</v>
          </cell>
          <cell r="G66">
            <v>0</v>
          </cell>
          <cell r="H66">
            <v>0</v>
          </cell>
          <cell r="I66">
            <v>0</v>
          </cell>
          <cell r="J66">
            <v>0</v>
          </cell>
          <cell r="K66">
            <v>0</v>
          </cell>
          <cell r="L66" t="str">
            <v>Enter</v>
          </cell>
          <cell r="M66">
            <v>0</v>
          </cell>
          <cell r="N66" t="str">
            <v>Enter</v>
          </cell>
          <cell r="O66">
            <v>0</v>
          </cell>
        </row>
        <row r="67">
          <cell r="A67" t="str">
            <v>Enter</v>
          </cell>
          <cell r="B67">
            <v>0</v>
          </cell>
          <cell r="C67">
            <v>0</v>
          </cell>
          <cell r="D67">
            <v>0</v>
          </cell>
          <cell r="E67">
            <v>0</v>
          </cell>
          <cell r="F67">
            <v>0</v>
          </cell>
          <cell r="G67">
            <v>0</v>
          </cell>
          <cell r="H67">
            <v>0</v>
          </cell>
          <cell r="I67">
            <v>0</v>
          </cell>
          <cell r="J67">
            <v>0</v>
          </cell>
          <cell r="K67">
            <v>0</v>
          </cell>
          <cell r="L67" t="str">
            <v>Enter</v>
          </cell>
          <cell r="M67">
            <v>0</v>
          </cell>
          <cell r="N67" t="str">
            <v>Enter</v>
          </cell>
          <cell r="O67">
            <v>0</v>
          </cell>
        </row>
        <row r="68">
          <cell r="A68" t="str">
            <v>Enter</v>
          </cell>
          <cell r="B68">
            <v>0</v>
          </cell>
          <cell r="C68">
            <v>0</v>
          </cell>
          <cell r="D68">
            <v>0</v>
          </cell>
          <cell r="E68">
            <v>0</v>
          </cell>
          <cell r="F68">
            <v>0</v>
          </cell>
          <cell r="G68">
            <v>0</v>
          </cell>
          <cell r="H68">
            <v>0</v>
          </cell>
          <cell r="I68">
            <v>0</v>
          </cell>
          <cell r="J68">
            <v>0</v>
          </cell>
          <cell r="K68">
            <v>0</v>
          </cell>
          <cell r="L68" t="str">
            <v>Enter</v>
          </cell>
          <cell r="M68">
            <v>0</v>
          </cell>
          <cell r="N68" t="str">
            <v>Enter</v>
          </cell>
          <cell r="O68">
            <v>0</v>
          </cell>
        </row>
        <row r="72">
          <cell r="A72" t="str">
            <v>None</v>
          </cell>
          <cell r="B72"/>
          <cell r="C72"/>
          <cell r="D72"/>
          <cell r="E72"/>
          <cell r="F72"/>
          <cell r="G72"/>
          <cell r="H72"/>
          <cell r="I72"/>
          <cell r="J72"/>
          <cell r="K72"/>
          <cell r="L72"/>
          <cell r="M72">
            <v>1</v>
          </cell>
          <cell r="N72" t="str">
            <v>None</v>
          </cell>
          <cell r="O72">
            <v>0</v>
          </cell>
        </row>
        <row r="73">
          <cell r="A73" t="str">
            <v>N-Serve</v>
          </cell>
          <cell r="B73"/>
          <cell r="C73"/>
          <cell r="D73"/>
          <cell r="E73"/>
          <cell r="F73"/>
          <cell r="G73"/>
          <cell r="H73"/>
          <cell r="I73"/>
          <cell r="J73"/>
          <cell r="K73">
            <v>1</v>
          </cell>
          <cell r="L73" t="str">
            <v>ozs</v>
          </cell>
          <cell r="M73">
            <v>128</v>
          </cell>
          <cell r="N73" t="str">
            <v>Gallons</v>
          </cell>
          <cell r="O73">
            <v>0</v>
          </cell>
        </row>
        <row r="74">
          <cell r="A74" t="str">
            <v>Instinct</v>
          </cell>
          <cell r="B74"/>
          <cell r="C74"/>
          <cell r="D74"/>
          <cell r="E74"/>
          <cell r="F74"/>
          <cell r="G74"/>
          <cell r="H74"/>
          <cell r="I74"/>
          <cell r="J74"/>
          <cell r="K74">
            <v>1</v>
          </cell>
          <cell r="L74" t="str">
            <v>ozs</v>
          </cell>
          <cell r="M74">
            <v>128</v>
          </cell>
          <cell r="N74" t="str">
            <v>Gallons</v>
          </cell>
          <cell r="O74">
            <v>0</v>
          </cell>
        </row>
        <row r="75">
          <cell r="A75" t="str">
            <v>Factor</v>
          </cell>
          <cell r="B75"/>
          <cell r="C75"/>
          <cell r="D75"/>
          <cell r="E75"/>
          <cell r="F75"/>
          <cell r="G75"/>
          <cell r="H75"/>
          <cell r="I75"/>
          <cell r="J75"/>
          <cell r="K75">
            <v>1</v>
          </cell>
          <cell r="L75" t="str">
            <v>qt/ton</v>
          </cell>
          <cell r="M75">
            <v>4</v>
          </cell>
          <cell r="N75" t="str">
            <v>Gallons</v>
          </cell>
          <cell r="O75">
            <v>0</v>
          </cell>
        </row>
        <row r="76">
          <cell r="A76" t="str">
            <v>Nutrisphere</v>
          </cell>
          <cell r="B76"/>
          <cell r="C76"/>
          <cell r="D76"/>
          <cell r="E76"/>
          <cell r="F76"/>
          <cell r="G76"/>
          <cell r="H76"/>
          <cell r="I76"/>
          <cell r="J76"/>
          <cell r="K76">
            <v>1</v>
          </cell>
          <cell r="L76" t="str">
            <v>qt/ton</v>
          </cell>
          <cell r="M76">
            <v>4</v>
          </cell>
          <cell r="N76" t="str">
            <v>Gallons</v>
          </cell>
          <cell r="O76">
            <v>0</v>
          </cell>
        </row>
        <row r="77">
          <cell r="A77" t="str">
            <v>Agrotain</v>
          </cell>
          <cell r="B77"/>
          <cell r="C77"/>
          <cell r="D77"/>
          <cell r="E77"/>
          <cell r="F77"/>
          <cell r="G77"/>
          <cell r="H77"/>
          <cell r="I77"/>
          <cell r="J77"/>
          <cell r="K77">
            <v>1</v>
          </cell>
          <cell r="L77" t="str">
            <v>qt/ton</v>
          </cell>
          <cell r="M77">
            <v>4</v>
          </cell>
          <cell r="N77" t="str">
            <v>Gallons</v>
          </cell>
          <cell r="O77">
            <v>0</v>
          </cell>
        </row>
        <row r="78">
          <cell r="A78" t="str">
            <v>Enter</v>
          </cell>
          <cell r="B78"/>
          <cell r="C78"/>
          <cell r="D78"/>
          <cell r="E78"/>
          <cell r="F78"/>
          <cell r="G78"/>
          <cell r="H78"/>
          <cell r="I78"/>
          <cell r="J78"/>
          <cell r="K78">
            <v>0</v>
          </cell>
          <cell r="L78" t="str">
            <v>Enter</v>
          </cell>
          <cell r="M78">
            <v>0</v>
          </cell>
          <cell r="N78" t="str">
            <v>Enter</v>
          </cell>
          <cell r="O78">
            <v>0</v>
          </cell>
        </row>
        <row r="79">
          <cell r="A79" t="str">
            <v>Enter</v>
          </cell>
          <cell r="B79"/>
          <cell r="C79"/>
          <cell r="D79"/>
          <cell r="E79"/>
          <cell r="F79"/>
          <cell r="G79"/>
          <cell r="H79"/>
          <cell r="I79"/>
          <cell r="J79"/>
          <cell r="K79">
            <v>0</v>
          </cell>
          <cell r="L79" t="str">
            <v>Enter</v>
          </cell>
          <cell r="M79">
            <v>0</v>
          </cell>
          <cell r="N79" t="str">
            <v>Enter</v>
          </cell>
          <cell r="O79">
            <v>0</v>
          </cell>
        </row>
        <row r="80">
          <cell r="A80" t="str">
            <v>Enter</v>
          </cell>
          <cell r="B80"/>
          <cell r="C80"/>
          <cell r="D80"/>
          <cell r="E80"/>
          <cell r="F80"/>
          <cell r="G80"/>
          <cell r="H80"/>
          <cell r="I80"/>
          <cell r="J80"/>
          <cell r="K80">
            <v>0</v>
          </cell>
          <cell r="L80" t="str">
            <v>Enter</v>
          </cell>
          <cell r="M80">
            <v>0</v>
          </cell>
          <cell r="N80" t="str">
            <v>Enter</v>
          </cell>
          <cell r="O80">
            <v>0</v>
          </cell>
        </row>
        <row r="81">
          <cell r="A81" t="str">
            <v>Enter</v>
          </cell>
          <cell r="B81"/>
          <cell r="C81"/>
          <cell r="D81"/>
          <cell r="E81"/>
          <cell r="F81"/>
          <cell r="G81"/>
          <cell r="H81"/>
          <cell r="I81"/>
          <cell r="J81"/>
          <cell r="K81">
            <v>0</v>
          </cell>
          <cell r="L81" t="str">
            <v>Enter</v>
          </cell>
          <cell r="M81">
            <v>0</v>
          </cell>
          <cell r="N81" t="str">
            <v>Enter</v>
          </cell>
          <cell r="O81">
            <v>0</v>
          </cell>
        </row>
      </sheetData>
      <sheetData sheetId="6">
        <row r="27">
          <cell r="D27">
            <v>0.2</v>
          </cell>
        </row>
      </sheetData>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rofit Loss"/>
      <sheetName val="Operational"/>
      <sheetName val="Seed &amp; Chem"/>
      <sheetName val="Starter Fertilizer"/>
      <sheetName val="Fertilizer"/>
      <sheetName val="Plant Health"/>
      <sheetName val="Land"/>
      <sheetName val="Loans"/>
      <sheetName val="Fertilizer Master List"/>
      <sheetName val="Chemical Master List"/>
      <sheetName val="Product Pricing"/>
      <sheetName val="Chemical Rate Chart"/>
      <sheetName val="Grain Handling"/>
    </sheetNames>
    <sheetDataSet>
      <sheetData sheetId="0" refreshError="1"/>
      <sheetData sheetId="1">
        <row r="12">
          <cell r="F12">
            <v>145</v>
          </cell>
        </row>
      </sheetData>
      <sheetData sheetId="2"/>
      <sheetData sheetId="3"/>
      <sheetData sheetId="4"/>
      <sheetData sheetId="5"/>
      <sheetData sheetId="6"/>
      <sheetData sheetId="7"/>
      <sheetData sheetId="8"/>
      <sheetData sheetId="9">
        <row r="3">
          <cell r="A3" t="str">
            <v>None</v>
          </cell>
        </row>
      </sheetData>
      <sheetData sheetId="10">
        <row r="2">
          <cell r="A2" t="str">
            <v>None</v>
          </cell>
        </row>
      </sheetData>
      <sheetData sheetId="11">
        <row r="3">
          <cell r="M3">
            <v>7.5</v>
          </cell>
        </row>
      </sheetData>
      <sheetData sheetId="12" refreshError="1"/>
      <sheetData sheetId="13">
        <row r="51">
          <cell r="C51">
            <v>0.3</v>
          </cell>
        </row>
        <row r="52">
          <cell r="C52">
            <v>0.28999999999999998</v>
          </cell>
        </row>
        <row r="53">
          <cell r="C53">
            <v>0.28000000000000003</v>
          </cell>
        </row>
        <row r="54">
          <cell r="C54">
            <v>0.27</v>
          </cell>
        </row>
        <row r="55">
          <cell r="C55">
            <v>0.26</v>
          </cell>
        </row>
        <row r="56">
          <cell r="C56">
            <v>0.25</v>
          </cell>
        </row>
        <row r="57">
          <cell r="C57">
            <v>0.24</v>
          </cell>
        </row>
        <row r="58">
          <cell r="C58">
            <v>0.23</v>
          </cell>
        </row>
        <row r="59">
          <cell r="C59">
            <v>0.22</v>
          </cell>
        </row>
        <row r="60">
          <cell r="C60">
            <v>0.21</v>
          </cell>
        </row>
        <row r="61">
          <cell r="C61">
            <v>0.2</v>
          </cell>
        </row>
        <row r="62">
          <cell r="C62">
            <v>0.19</v>
          </cell>
        </row>
        <row r="63">
          <cell r="C63">
            <v>0.18</v>
          </cell>
        </row>
        <row r="64">
          <cell r="C64">
            <v>0.17</v>
          </cell>
        </row>
        <row r="65">
          <cell r="C65">
            <v>0.16</v>
          </cell>
        </row>
        <row r="66">
          <cell r="C66">
            <v>0.15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extension.umn.edu/manure-management/manure-application-methods-and-nitrogen-losses" TargetMode="External"/><Relationship Id="rId2" Type="http://schemas.openxmlformats.org/officeDocument/2006/relationships/hyperlink" Target="https://www.michigan.gov/mdard/0,4610,7-125-1599_1605---,00.html" TargetMode="External"/><Relationship Id="rId1" Type="http://schemas.openxmlformats.org/officeDocument/2006/relationships/hyperlink" Target="https://soil.msu.edu/wp-content/uploads/2014/06/MSU-Nutrient-recomdns-field-crops-E-2904.pdf" TargetMode="External"/><Relationship Id="rId4"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canr.msu.edu/uploads/files/AABI/Soybean_Fungicide_efficacy_table_2018_final_MC.pdf" TargetMode="External"/><Relationship Id="rId1" Type="http://schemas.openxmlformats.org/officeDocument/2006/relationships/hyperlink" Target="http://msuent.com/assets/pdf/1582SoybeanInsects10.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oil.msu.edu/wp-content/uploads/2014/06/MSU-Nutrient-recomdns-field-crops-E-2904.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canr.msu.edu/weeds/index" TargetMode="External"/><Relationship Id="rId2" Type="http://schemas.openxmlformats.org/officeDocument/2006/relationships/hyperlink" Target="http://msuent.com/assets/pdf/1582CornInsects10.pdf" TargetMode="External"/><Relationship Id="rId1" Type="http://schemas.openxmlformats.org/officeDocument/2006/relationships/hyperlink" Target="https://www.canr.msu.edu/weeds/extension/2018+weed-control-guide" TargetMode="External"/><Relationship Id="rId4"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www.canr.msu.edu/fertrec/" TargetMode="External"/><Relationship Id="rId7" Type="http://schemas.openxmlformats.org/officeDocument/2006/relationships/printerSettings" Target="../printerSettings/printerSettings6.bin"/><Relationship Id="rId2" Type="http://schemas.openxmlformats.org/officeDocument/2006/relationships/hyperlink" Target="https://agcrops.osu.edu/FertilityResources/tri-state_info" TargetMode="External"/><Relationship Id="rId1" Type="http://schemas.openxmlformats.org/officeDocument/2006/relationships/hyperlink" Target="https://soil.msu.edu/wp-content/uploads/2014/06/MSU-Nutrient-recomdns-field-crops-E-2904.pdf" TargetMode="External"/><Relationship Id="rId6" Type="http://schemas.openxmlformats.org/officeDocument/2006/relationships/hyperlink" Target="https://extension.umn.edu/manure-management/manure-application-methods-and-nitrogen-losses" TargetMode="External"/><Relationship Id="rId5" Type="http://schemas.openxmlformats.org/officeDocument/2006/relationships/hyperlink" Target="https://www.michigan.gov/mdard/0,4610,7-125-1599_1605---,00.html" TargetMode="External"/><Relationship Id="rId4" Type="http://schemas.openxmlformats.org/officeDocument/2006/relationships/hyperlink" Target="http://cnrc.agron.iastate.edu/"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51"/>
  <sheetViews>
    <sheetView tabSelected="1" zoomScale="90" zoomScaleNormal="90" workbookViewId="0">
      <selection activeCell="C42" sqref="C42:C47"/>
    </sheetView>
  </sheetViews>
  <sheetFormatPr defaultColWidth="8.85546875" defaultRowHeight="15"/>
  <cols>
    <col min="3" max="3" width="33.42578125" bestFit="1" customWidth="1"/>
    <col min="4" max="4" width="1.5703125" customWidth="1"/>
    <col min="18" max="18" width="23.7109375" customWidth="1"/>
  </cols>
  <sheetData>
    <row r="1" spans="1:18" ht="15" customHeight="1">
      <c r="A1" s="682" t="s">
        <v>712</v>
      </c>
      <c r="B1" s="683"/>
      <c r="C1" s="683"/>
      <c r="D1" s="683"/>
      <c r="E1" s="683"/>
      <c r="F1" s="683"/>
      <c r="G1" s="683"/>
      <c r="H1" s="683"/>
      <c r="I1" s="683"/>
      <c r="J1" s="683"/>
      <c r="K1" s="683"/>
      <c r="L1" s="683"/>
      <c r="M1" s="683"/>
      <c r="N1" s="683"/>
      <c r="O1" s="683"/>
      <c r="P1" s="683"/>
      <c r="Q1" s="683"/>
      <c r="R1" s="684"/>
    </row>
    <row r="2" spans="1:18" ht="15" customHeight="1">
      <c r="A2" s="685"/>
      <c r="B2" s="686"/>
      <c r="C2" s="686"/>
      <c r="D2" s="686"/>
      <c r="E2" s="686"/>
      <c r="F2" s="686"/>
      <c r="G2" s="686"/>
      <c r="H2" s="686"/>
      <c r="I2" s="686"/>
      <c r="J2" s="686"/>
      <c r="K2" s="686"/>
      <c r="L2" s="686"/>
      <c r="M2" s="686"/>
      <c r="N2" s="686"/>
      <c r="O2" s="686"/>
      <c r="P2" s="686"/>
      <c r="Q2" s="686"/>
      <c r="R2" s="687"/>
    </row>
    <row r="3" spans="1:18">
      <c r="A3" s="685"/>
      <c r="B3" s="686"/>
      <c r="C3" s="686"/>
      <c r="D3" s="686"/>
      <c r="E3" s="686"/>
      <c r="F3" s="686"/>
      <c r="G3" s="686"/>
      <c r="H3" s="686"/>
      <c r="I3" s="686"/>
      <c r="J3" s="686"/>
      <c r="K3" s="686"/>
      <c r="L3" s="686"/>
      <c r="M3" s="686"/>
      <c r="N3" s="686"/>
      <c r="O3" s="686"/>
      <c r="P3" s="686"/>
      <c r="Q3" s="686"/>
      <c r="R3" s="687"/>
    </row>
    <row r="4" spans="1:18" ht="15.75">
      <c r="A4" s="688" t="s">
        <v>343</v>
      </c>
      <c r="B4" s="689"/>
      <c r="C4" s="689"/>
      <c r="D4" s="689"/>
      <c r="E4" s="689"/>
      <c r="F4" s="689"/>
      <c r="G4" s="689"/>
      <c r="H4" s="689"/>
      <c r="I4" s="689"/>
      <c r="J4" s="689"/>
      <c r="K4" s="689"/>
      <c r="L4" s="689"/>
      <c r="M4" s="689"/>
      <c r="N4" s="689"/>
      <c r="O4" s="689"/>
      <c r="P4" s="689"/>
      <c r="Q4" s="689"/>
      <c r="R4" s="690"/>
    </row>
    <row r="5" spans="1:18" ht="15.75">
      <c r="A5" s="688" t="s">
        <v>342</v>
      </c>
      <c r="B5" s="689"/>
      <c r="C5" s="689"/>
      <c r="D5" s="689"/>
      <c r="E5" s="689"/>
      <c r="F5" s="689"/>
      <c r="G5" s="689"/>
      <c r="H5" s="689"/>
      <c r="I5" s="689"/>
      <c r="J5" s="689"/>
      <c r="K5" s="689"/>
      <c r="L5" s="689"/>
      <c r="M5" s="689"/>
      <c r="N5" s="689"/>
      <c r="O5" s="689"/>
      <c r="P5" s="689"/>
      <c r="Q5" s="689"/>
      <c r="R5" s="690"/>
    </row>
    <row r="6" spans="1:18" ht="15.75">
      <c r="A6" s="688" t="s">
        <v>713</v>
      </c>
      <c r="B6" s="689"/>
      <c r="C6" s="689"/>
      <c r="D6" s="689"/>
      <c r="E6" s="689"/>
      <c r="F6" s="689"/>
      <c r="G6" s="689"/>
      <c r="H6" s="689"/>
      <c r="I6" s="689"/>
      <c r="J6" s="689"/>
      <c r="K6" s="689"/>
      <c r="L6" s="689"/>
      <c r="M6" s="689"/>
      <c r="N6" s="689"/>
      <c r="O6" s="689"/>
      <c r="P6" s="689"/>
      <c r="Q6" s="689"/>
      <c r="R6" s="690"/>
    </row>
    <row r="7" spans="1:18" ht="16.5" customHeight="1">
      <c r="A7" s="688" t="s">
        <v>484</v>
      </c>
      <c r="B7" s="689"/>
      <c r="C7" s="689"/>
      <c r="D7" s="689"/>
      <c r="E7" s="689"/>
      <c r="F7" s="689"/>
      <c r="G7" s="689"/>
      <c r="H7" s="689"/>
      <c r="I7" s="689"/>
      <c r="J7" s="689"/>
      <c r="K7" s="689"/>
      <c r="L7" s="689"/>
      <c r="M7" s="689"/>
      <c r="N7" s="689"/>
      <c r="O7" s="689"/>
      <c r="P7" s="689"/>
      <c r="Q7" s="689"/>
      <c r="R7" s="690"/>
    </row>
    <row r="8" spans="1:18" ht="16.5" customHeight="1" thickBot="1">
      <c r="A8" s="530"/>
      <c r="B8" s="531"/>
      <c r="C8" s="531"/>
      <c r="D8" s="531"/>
      <c r="E8" s="531"/>
      <c r="F8" s="531"/>
      <c r="G8" s="531"/>
      <c r="H8" s="531"/>
      <c r="I8" s="531"/>
      <c r="J8" s="531"/>
      <c r="K8" s="531"/>
      <c r="L8" s="531"/>
      <c r="M8" s="531"/>
      <c r="N8" s="531"/>
      <c r="O8" s="531"/>
      <c r="P8" s="531"/>
      <c r="Q8" s="531"/>
      <c r="R8" s="532"/>
    </row>
    <row r="9" spans="1:18" ht="16.5" customHeight="1">
      <c r="A9" s="533"/>
      <c r="B9" s="534"/>
      <c r="C9" s="534"/>
      <c r="D9" s="534"/>
      <c r="E9" s="534"/>
      <c r="F9" s="534"/>
      <c r="G9" s="534"/>
      <c r="H9" s="534"/>
      <c r="I9" s="534"/>
      <c r="J9" s="534"/>
      <c r="K9" s="534"/>
      <c r="L9" s="534"/>
      <c r="M9" s="534"/>
      <c r="N9" s="534"/>
      <c r="O9" s="534"/>
      <c r="P9" s="534"/>
      <c r="Q9" s="534"/>
      <c r="R9" s="535"/>
    </row>
    <row r="10" spans="1:18" ht="20.100000000000001" customHeight="1">
      <c r="A10" s="189" t="s">
        <v>281</v>
      </c>
      <c r="B10" s="190" t="s">
        <v>282</v>
      </c>
      <c r="C10" s="190"/>
      <c r="D10" s="190"/>
      <c r="E10" s="190"/>
      <c r="F10" s="190"/>
      <c r="G10" s="190"/>
      <c r="H10" s="190"/>
      <c r="I10" s="190"/>
      <c r="J10" s="190"/>
      <c r="K10" s="190"/>
      <c r="L10" s="191"/>
      <c r="M10" s="191"/>
      <c r="N10" s="191"/>
      <c r="O10" s="191"/>
      <c r="P10" s="191"/>
      <c r="Q10" s="191"/>
      <c r="R10" s="192"/>
    </row>
    <row r="11" spans="1:18" ht="20.100000000000001" customHeight="1">
      <c r="A11" s="185"/>
      <c r="B11" s="186" t="s">
        <v>283</v>
      </c>
      <c r="C11" s="186"/>
      <c r="D11" s="186"/>
      <c r="E11" s="186"/>
      <c r="F11" s="186"/>
      <c r="G11" s="186"/>
      <c r="H11" s="186"/>
      <c r="I11" s="186"/>
      <c r="J11" s="186"/>
      <c r="K11" s="186"/>
      <c r="L11" s="187"/>
      <c r="M11" s="187"/>
      <c r="N11" s="187"/>
      <c r="O11" s="187"/>
      <c r="P11" s="187"/>
      <c r="Q11" s="187"/>
      <c r="R11" s="188"/>
    </row>
    <row r="12" spans="1:18" ht="20.100000000000001" customHeight="1">
      <c r="A12" s="185"/>
      <c r="B12" s="186"/>
      <c r="C12" s="693"/>
      <c r="D12" s="693"/>
      <c r="E12" s="693"/>
      <c r="F12" s="693"/>
      <c r="G12" s="693"/>
      <c r="H12" s="693"/>
      <c r="I12" s="693"/>
      <c r="J12" s="693"/>
      <c r="K12" s="693"/>
      <c r="L12" s="693"/>
      <c r="M12" s="693"/>
      <c r="N12" s="693"/>
      <c r="O12" s="693"/>
      <c r="P12" s="693"/>
      <c r="Q12" s="693"/>
      <c r="R12" s="694"/>
    </row>
    <row r="13" spans="1:18" ht="20.100000000000001" customHeight="1" thickBot="1">
      <c r="A13" s="185"/>
      <c r="B13" s="186"/>
      <c r="C13" s="678" t="s">
        <v>410</v>
      </c>
      <c r="D13" s="678"/>
      <c r="E13" s="678"/>
      <c r="F13" s="678"/>
      <c r="G13" s="678"/>
      <c r="H13" s="678"/>
      <c r="I13" s="678"/>
      <c r="J13" s="678"/>
      <c r="K13" s="678"/>
      <c r="L13" s="678"/>
      <c r="M13" s="678"/>
      <c r="N13" s="678"/>
      <c r="O13" s="678"/>
      <c r="P13" s="678"/>
      <c r="Q13" s="678"/>
      <c r="R13" s="679"/>
    </row>
    <row r="14" spans="1:18" ht="20.100000000000001" customHeight="1">
      <c r="A14" s="185"/>
      <c r="B14" s="186"/>
      <c r="C14" s="178" t="s">
        <v>488</v>
      </c>
      <c r="D14" s="179" t="s">
        <v>466</v>
      </c>
      <c r="E14" s="669" t="s">
        <v>489</v>
      </c>
      <c r="F14" s="669"/>
      <c r="G14" s="669"/>
      <c r="H14" s="669"/>
      <c r="I14" s="669"/>
      <c r="J14" s="669"/>
      <c r="K14" s="669"/>
      <c r="L14" s="669"/>
      <c r="M14" s="669"/>
      <c r="N14" s="669"/>
      <c r="O14" s="669"/>
      <c r="P14" s="669"/>
      <c r="Q14" s="669"/>
      <c r="R14" s="670"/>
    </row>
    <row r="15" spans="1:18" ht="20.100000000000001" customHeight="1" thickBot="1">
      <c r="A15" s="185"/>
      <c r="B15" s="186"/>
      <c r="C15" s="176"/>
      <c r="D15" s="177"/>
      <c r="E15" s="673" t="s">
        <v>407</v>
      </c>
      <c r="F15" s="673"/>
      <c r="G15" s="673"/>
      <c r="H15" s="673"/>
      <c r="I15" s="673"/>
      <c r="J15" s="673"/>
      <c r="K15" s="673"/>
      <c r="L15" s="673"/>
      <c r="M15" s="673"/>
      <c r="N15" s="673"/>
      <c r="O15" s="673"/>
      <c r="P15" s="673"/>
      <c r="Q15" s="673"/>
      <c r="R15" s="674"/>
    </row>
    <row r="16" spans="1:18" ht="20.100000000000001" customHeight="1">
      <c r="A16" s="185"/>
      <c r="B16" s="186"/>
      <c r="C16" s="675" t="s">
        <v>504</v>
      </c>
      <c r="D16" s="174" t="s">
        <v>466</v>
      </c>
      <c r="E16" s="669" t="s">
        <v>284</v>
      </c>
      <c r="F16" s="669"/>
      <c r="G16" s="669"/>
      <c r="H16" s="669"/>
      <c r="I16" s="669"/>
      <c r="J16" s="669"/>
      <c r="K16" s="669"/>
      <c r="L16" s="669"/>
      <c r="M16" s="669"/>
      <c r="N16" s="669"/>
      <c r="O16" s="669"/>
      <c r="P16" s="669"/>
      <c r="Q16" s="669"/>
      <c r="R16" s="670"/>
    </row>
    <row r="17" spans="1:18" ht="20.100000000000001" customHeight="1">
      <c r="A17" s="185"/>
      <c r="B17" s="186"/>
      <c r="C17" s="676"/>
      <c r="D17" s="175"/>
      <c r="E17" s="680" t="s">
        <v>468</v>
      </c>
      <c r="F17" s="680"/>
      <c r="G17" s="680"/>
      <c r="H17" s="680"/>
      <c r="I17" s="680"/>
      <c r="J17" s="680"/>
      <c r="K17" s="680"/>
      <c r="L17" s="680"/>
      <c r="M17" s="680"/>
      <c r="N17" s="680"/>
      <c r="O17" s="680"/>
      <c r="P17" s="680"/>
      <c r="Q17" s="680"/>
      <c r="R17" s="681"/>
    </row>
    <row r="18" spans="1:18" ht="20.100000000000001" customHeight="1">
      <c r="A18" s="185"/>
      <c r="B18" s="186"/>
      <c r="C18" s="676"/>
      <c r="D18" s="175" t="s">
        <v>466</v>
      </c>
      <c r="E18" s="661" t="s">
        <v>659</v>
      </c>
      <c r="F18" s="661"/>
      <c r="G18" s="661"/>
      <c r="H18" s="661"/>
      <c r="I18" s="661"/>
      <c r="J18" s="661"/>
      <c r="K18" s="661"/>
      <c r="L18" s="661"/>
      <c r="M18" s="661"/>
      <c r="N18" s="661"/>
      <c r="O18" s="661"/>
      <c r="P18" s="661"/>
      <c r="Q18" s="661"/>
      <c r="R18" s="662"/>
    </row>
    <row r="19" spans="1:18" ht="20.100000000000001" customHeight="1">
      <c r="A19" s="185"/>
      <c r="B19" s="186"/>
      <c r="C19" s="676"/>
      <c r="D19" s="175" t="s">
        <v>466</v>
      </c>
      <c r="E19" s="661" t="s">
        <v>360</v>
      </c>
      <c r="F19" s="661"/>
      <c r="G19" s="661"/>
      <c r="H19" s="661"/>
      <c r="I19" s="661"/>
      <c r="J19" s="661"/>
      <c r="K19" s="661"/>
      <c r="L19" s="661"/>
      <c r="M19" s="661"/>
      <c r="N19" s="661"/>
      <c r="O19" s="661"/>
      <c r="P19" s="661"/>
      <c r="Q19" s="661"/>
      <c r="R19" s="662"/>
    </row>
    <row r="20" spans="1:18" ht="20.100000000000001" customHeight="1">
      <c r="A20" s="185"/>
      <c r="B20" s="186"/>
      <c r="C20" s="676"/>
      <c r="D20" s="175"/>
      <c r="E20" s="680" t="s">
        <v>467</v>
      </c>
      <c r="F20" s="680"/>
      <c r="G20" s="680"/>
      <c r="H20" s="680"/>
      <c r="I20" s="680"/>
      <c r="J20" s="680"/>
      <c r="K20" s="680"/>
      <c r="L20" s="680"/>
      <c r="M20" s="680"/>
      <c r="N20" s="680"/>
      <c r="O20" s="680"/>
      <c r="P20" s="680"/>
      <c r="Q20" s="680"/>
      <c r="R20" s="681"/>
    </row>
    <row r="21" spans="1:18" ht="20.100000000000001" customHeight="1" thickBot="1">
      <c r="A21" s="185"/>
      <c r="B21" s="186"/>
      <c r="C21" s="676"/>
      <c r="D21" s="175"/>
      <c r="E21" s="680" t="s">
        <v>361</v>
      </c>
      <c r="F21" s="680"/>
      <c r="G21" s="680"/>
      <c r="H21" s="680"/>
      <c r="I21" s="680"/>
      <c r="J21" s="680"/>
      <c r="K21" s="680"/>
      <c r="L21" s="680"/>
      <c r="M21" s="680"/>
      <c r="N21" s="680"/>
      <c r="O21" s="680"/>
      <c r="P21" s="680"/>
      <c r="Q21" s="680"/>
      <c r="R21" s="681"/>
    </row>
    <row r="22" spans="1:18" ht="20.100000000000001" customHeight="1">
      <c r="A22" s="185"/>
      <c r="B22" s="186"/>
      <c r="C22" s="675" t="s">
        <v>490</v>
      </c>
      <c r="D22" s="180" t="s">
        <v>466</v>
      </c>
      <c r="E22" s="669" t="s">
        <v>462</v>
      </c>
      <c r="F22" s="669"/>
      <c r="G22" s="669"/>
      <c r="H22" s="669"/>
      <c r="I22" s="669"/>
      <c r="J22" s="669"/>
      <c r="K22" s="669"/>
      <c r="L22" s="669"/>
      <c r="M22" s="669"/>
      <c r="N22" s="669"/>
      <c r="O22" s="669"/>
      <c r="P22" s="669"/>
      <c r="Q22" s="669"/>
      <c r="R22" s="670"/>
    </row>
    <row r="23" spans="1:18" ht="20.100000000000001" customHeight="1">
      <c r="A23" s="185"/>
      <c r="B23" s="186"/>
      <c r="C23" s="676"/>
      <c r="D23" s="181"/>
      <c r="E23" s="691" t="s">
        <v>463</v>
      </c>
      <c r="F23" s="691"/>
      <c r="G23" s="691"/>
      <c r="H23" s="691"/>
      <c r="I23" s="691"/>
      <c r="J23" s="691"/>
      <c r="K23" s="691"/>
      <c r="L23" s="691"/>
      <c r="M23" s="691"/>
      <c r="N23" s="691"/>
      <c r="O23" s="691"/>
      <c r="P23" s="691"/>
      <c r="Q23" s="691"/>
      <c r="R23" s="692"/>
    </row>
    <row r="24" spans="1:18" ht="20.100000000000001" customHeight="1">
      <c r="A24" s="185"/>
      <c r="B24" s="186"/>
      <c r="C24" s="676"/>
      <c r="D24" s="181"/>
      <c r="E24" s="691" t="s">
        <v>464</v>
      </c>
      <c r="F24" s="691"/>
      <c r="G24" s="691"/>
      <c r="H24" s="691"/>
      <c r="I24" s="691"/>
      <c r="J24" s="691"/>
      <c r="K24" s="691"/>
      <c r="L24" s="691"/>
      <c r="M24" s="691"/>
      <c r="N24" s="691"/>
      <c r="O24" s="691"/>
      <c r="P24" s="691"/>
      <c r="Q24" s="691"/>
      <c r="R24" s="692"/>
    </row>
    <row r="25" spans="1:18" ht="20.100000000000001" customHeight="1" thickBot="1">
      <c r="A25" s="185"/>
      <c r="B25" s="186"/>
      <c r="C25" s="677"/>
      <c r="D25" s="182"/>
      <c r="E25" s="673" t="s">
        <v>408</v>
      </c>
      <c r="F25" s="673"/>
      <c r="G25" s="673"/>
      <c r="H25" s="673"/>
      <c r="I25" s="673"/>
      <c r="J25" s="673"/>
      <c r="K25" s="673"/>
      <c r="L25" s="673"/>
      <c r="M25" s="673"/>
      <c r="N25" s="673"/>
      <c r="O25" s="673"/>
      <c r="P25" s="673"/>
      <c r="Q25" s="673"/>
      <c r="R25" s="674"/>
    </row>
    <row r="26" spans="1:18" ht="20.100000000000001" customHeight="1">
      <c r="A26" s="185"/>
      <c r="B26" s="186"/>
      <c r="C26" s="178" t="s">
        <v>254</v>
      </c>
      <c r="D26" s="179" t="s">
        <v>466</v>
      </c>
      <c r="E26" s="669" t="s">
        <v>335</v>
      </c>
      <c r="F26" s="669"/>
      <c r="G26" s="669"/>
      <c r="H26" s="669"/>
      <c r="I26" s="669"/>
      <c r="J26" s="669"/>
      <c r="K26" s="669"/>
      <c r="L26" s="669"/>
      <c r="M26" s="669"/>
      <c r="N26" s="669"/>
      <c r="O26" s="669"/>
      <c r="P26" s="669"/>
      <c r="Q26" s="669"/>
      <c r="R26" s="670"/>
    </row>
    <row r="27" spans="1:18" ht="20.100000000000001" customHeight="1" thickBot="1">
      <c r="A27" s="185"/>
      <c r="B27" s="186"/>
      <c r="C27" s="176"/>
      <c r="D27" s="177"/>
      <c r="E27" s="673" t="s">
        <v>473</v>
      </c>
      <c r="F27" s="673"/>
      <c r="G27" s="673"/>
      <c r="H27" s="673"/>
      <c r="I27" s="673"/>
      <c r="J27" s="673"/>
      <c r="K27" s="673"/>
      <c r="L27" s="673"/>
      <c r="M27" s="673"/>
      <c r="N27" s="673"/>
      <c r="O27" s="673"/>
      <c r="P27" s="673"/>
      <c r="Q27" s="673"/>
      <c r="R27" s="674"/>
    </row>
    <row r="28" spans="1:18" ht="20.100000000000001" customHeight="1" thickBot="1">
      <c r="A28" s="185"/>
      <c r="B28" s="186"/>
      <c r="C28" s="183" t="s">
        <v>465</v>
      </c>
      <c r="D28" s="184" t="s">
        <v>466</v>
      </c>
      <c r="E28" s="663" t="s">
        <v>409</v>
      </c>
      <c r="F28" s="663"/>
      <c r="G28" s="663"/>
      <c r="H28" s="663"/>
      <c r="I28" s="663"/>
      <c r="J28" s="663"/>
      <c r="K28" s="663"/>
      <c r="L28" s="663"/>
      <c r="M28" s="663"/>
      <c r="N28" s="663"/>
      <c r="O28" s="663"/>
      <c r="P28" s="663"/>
      <c r="Q28" s="663"/>
      <c r="R28" s="664"/>
    </row>
    <row r="29" spans="1:18" ht="20.100000000000001" hidden="1" customHeight="1">
      <c r="A29" s="185"/>
      <c r="B29" s="186"/>
      <c r="C29" s="193"/>
      <c r="D29" s="193"/>
      <c r="E29" s="661" t="s">
        <v>291</v>
      </c>
      <c r="F29" s="661"/>
      <c r="G29" s="661"/>
      <c r="H29" s="661"/>
      <c r="I29" s="661"/>
      <c r="J29" s="661"/>
      <c r="K29" s="661"/>
      <c r="L29" s="661"/>
      <c r="M29" s="661"/>
      <c r="N29" s="661"/>
      <c r="O29" s="661"/>
      <c r="P29" s="661"/>
      <c r="Q29" s="661"/>
      <c r="R29" s="662"/>
    </row>
    <row r="30" spans="1:18" ht="20.100000000000001" customHeight="1">
      <c r="A30" s="185"/>
      <c r="B30" s="186"/>
      <c r="C30" s="178" t="s">
        <v>654</v>
      </c>
      <c r="D30" s="179" t="s">
        <v>466</v>
      </c>
      <c r="E30" s="665" t="s">
        <v>660</v>
      </c>
      <c r="F30" s="665"/>
      <c r="G30" s="665"/>
      <c r="H30" s="665"/>
      <c r="I30" s="665"/>
      <c r="J30" s="665"/>
      <c r="K30" s="665"/>
      <c r="L30" s="665"/>
      <c r="M30" s="665"/>
      <c r="N30" s="665"/>
      <c r="O30" s="665"/>
      <c r="P30" s="665"/>
      <c r="Q30" s="665"/>
      <c r="R30" s="666"/>
    </row>
    <row r="31" spans="1:18" ht="20.100000000000001" customHeight="1" thickBot="1">
      <c r="A31" s="185"/>
      <c r="B31" s="186"/>
      <c r="C31" s="176"/>
      <c r="D31" s="177"/>
      <c r="E31" s="667" t="s">
        <v>661</v>
      </c>
      <c r="F31" s="667"/>
      <c r="G31" s="667"/>
      <c r="H31" s="667"/>
      <c r="I31" s="667"/>
      <c r="J31" s="667"/>
      <c r="K31" s="667"/>
      <c r="L31" s="667"/>
      <c r="M31" s="667"/>
      <c r="N31" s="667"/>
      <c r="O31" s="667"/>
      <c r="P31" s="667"/>
      <c r="Q31" s="667"/>
      <c r="R31" s="668"/>
    </row>
    <row r="32" spans="1:18" ht="20.100000000000001" customHeight="1">
      <c r="A32" s="194"/>
      <c r="B32" s="187"/>
      <c r="C32" s="178" t="s">
        <v>491</v>
      </c>
      <c r="D32" s="179" t="s">
        <v>466</v>
      </c>
      <c r="E32" s="665" t="s">
        <v>286</v>
      </c>
      <c r="F32" s="665"/>
      <c r="G32" s="665"/>
      <c r="H32" s="665"/>
      <c r="I32" s="665"/>
      <c r="J32" s="665"/>
      <c r="K32" s="665"/>
      <c r="L32" s="665"/>
      <c r="M32" s="665"/>
      <c r="N32" s="665"/>
      <c r="O32" s="665"/>
      <c r="P32" s="665"/>
      <c r="Q32" s="665"/>
      <c r="R32" s="666"/>
    </row>
    <row r="33" spans="1:18" ht="20.100000000000001" customHeight="1" thickBot="1">
      <c r="A33" s="194"/>
      <c r="B33" s="187"/>
      <c r="C33" s="176"/>
      <c r="D33" s="177"/>
      <c r="E33" s="673" t="s">
        <v>406</v>
      </c>
      <c r="F33" s="673"/>
      <c r="G33" s="673"/>
      <c r="H33" s="673"/>
      <c r="I33" s="673"/>
      <c r="J33" s="673"/>
      <c r="K33" s="673"/>
      <c r="L33" s="673"/>
      <c r="M33" s="673"/>
      <c r="N33" s="673"/>
      <c r="O33" s="673"/>
      <c r="P33" s="673"/>
      <c r="Q33" s="673"/>
      <c r="R33" s="674"/>
    </row>
    <row r="34" spans="1:18" ht="20.100000000000001" customHeight="1" thickBot="1">
      <c r="A34" s="185"/>
      <c r="B34" s="186"/>
      <c r="C34" s="183" t="s">
        <v>492</v>
      </c>
      <c r="D34" s="184" t="s">
        <v>466</v>
      </c>
      <c r="E34" s="663" t="s">
        <v>292</v>
      </c>
      <c r="F34" s="663"/>
      <c r="G34" s="663"/>
      <c r="H34" s="663"/>
      <c r="I34" s="663"/>
      <c r="J34" s="663"/>
      <c r="K34" s="663"/>
      <c r="L34" s="663"/>
      <c r="M34" s="663"/>
      <c r="N34" s="663"/>
      <c r="O34" s="663"/>
      <c r="P34" s="663"/>
      <c r="Q34" s="663"/>
      <c r="R34" s="664"/>
    </row>
    <row r="35" spans="1:18" ht="20.100000000000001" customHeight="1">
      <c r="A35" s="185"/>
      <c r="B35" s="186"/>
      <c r="C35" s="178" t="s">
        <v>522</v>
      </c>
      <c r="D35" s="179" t="s">
        <v>466</v>
      </c>
      <c r="E35" s="669" t="s">
        <v>524</v>
      </c>
      <c r="F35" s="669"/>
      <c r="G35" s="669"/>
      <c r="H35" s="669"/>
      <c r="I35" s="669"/>
      <c r="J35" s="669"/>
      <c r="K35" s="669"/>
      <c r="L35" s="669"/>
      <c r="M35" s="669"/>
      <c r="N35" s="669"/>
      <c r="O35" s="669"/>
      <c r="P35" s="669"/>
      <c r="Q35" s="669"/>
      <c r="R35" s="670"/>
    </row>
    <row r="36" spans="1:18" ht="19.899999999999999" customHeight="1" thickBot="1">
      <c r="A36" s="194"/>
      <c r="B36" s="187"/>
      <c r="C36" s="176"/>
      <c r="D36" s="177"/>
      <c r="E36" s="671" t="s">
        <v>523</v>
      </c>
      <c r="F36" s="671"/>
      <c r="G36" s="671"/>
      <c r="H36" s="671"/>
      <c r="I36" s="671"/>
      <c r="J36" s="671"/>
      <c r="K36" s="671"/>
      <c r="L36" s="671"/>
      <c r="M36" s="671"/>
      <c r="N36" s="671"/>
      <c r="O36" s="671"/>
      <c r="P36" s="671"/>
      <c r="Q36" s="671"/>
      <c r="R36" s="672"/>
    </row>
    <row r="37" spans="1:18" ht="19.899999999999999" customHeight="1" thickBot="1">
      <c r="A37" s="194"/>
      <c r="B37" s="187"/>
      <c r="C37" s="183" t="s">
        <v>530</v>
      </c>
      <c r="D37" s="184" t="s">
        <v>466</v>
      </c>
      <c r="E37" s="663" t="s">
        <v>529</v>
      </c>
      <c r="F37" s="663"/>
      <c r="G37" s="663"/>
      <c r="H37" s="663"/>
      <c r="I37" s="663"/>
      <c r="J37" s="663"/>
      <c r="K37" s="663"/>
      <c r="L37" s="663"/>
      <c r="M37" s="663"/>
      <c r="N37" s="663"/>
      <c r="O37" s="663"/>
      <c r="P37" s="663"/>
      <c r="Q37" s="663"/>
      <c r="R37" s="664"/>
    </row>
    <row r="38" spans="1:18" ht="19.899999999999999" customHeight="1">
      <c r="A38" s="194"/>
      <c r="B38" s="187"/>
      <c r="C38" s="178" t="s">
        <v>637</v>
      </c>
      <c r="D38" s="179" t="s">
        <v>466</v>
      </c>
      <c r="E38" s="665" t="s">
        <v>638</v>
      </c>
      <c r="F38" s="665"/>
      <c r="G38" s="665"/>
      <c r="H38" s="665"/>
      <c r="I38" s="665"/>
      <c r="J38" s="665"/>
      <c r="K38" s="665"/>
      <c r="L38" s="665"/>
      <c r="M38" s="665"/>
      <c r="N38" s="665"/>
      <c r="O38" s="665"/>
      <c r="P38" s="665"/>
      <c r="Q38" s="665"/>
      <c r="R38" s="666"/>
    </row>
    <row r="39" spans="1:18" ht="19.899999999999999" customHeight="1" thickBot="1">
      <c r="A39" s="194"/>
      <c r="B39" s="187"/>
      <c r="C39" s="298"/>
      <c r="D39" s="299"/>
      <c r="E39" s="667"/>
      <c r="F39" s="667"/>
      <c r="G39" s="667"/>
      <c r="H39" s="667"/>
      <c r="I39" s="667"/>
      <c r="J39" s="667"/>
      <c r="K39" s="667"/>
      <c r="L39" s="667"/>
      <c r="M39" s="667"/>
      <c r="N39" s="667"/>
      <c r="O39" s="667"/>
      <c r="P39" s="667"/>
      <c r="Q39" s="667"/>
      <c r="R39" s="668"/>
    </row>
    <row r="40" spans="1:18" ht="20.100000000000001" customHeight="1">
      <c r="A40" s="194"/>
      <c r="B40" s="187"/>
      <c r="C40" s="178" t="s">
        <v>710</v>
      </c>
      <c r="D40" s="179" t="s">
        <v>466</v>
      </c>
      <c r="E40" s="665" t="s">
        <v>711</v>
      </c>
      <c r="F40" s="665"/>
      <c r="G40" s="665"/>
      <c r="H40" s="665"/>
      <c r="I40" s="665"/>
      <c r="J40" s="665"/>
      <c r="K40" s="665"/>
      <c r="L40" s="665"/>
      <c r="M40" s="665"/>
      <c r="N40" s="665"/>
      <c r="O40" s="665"/>
      <c r="P40" s="665"/>
      <c r="Q40" s="665"/>
      <c r="R40" s="666"/>
    </row>
    <row r="41" spans="1:18" ht="20.100000000000001" customHeight="1" thickBot="1">
      <c r="A41" s="194"/>
      <c r="B41" s="187"/>
      <c r="C41" s="298"/>
      <c r="D41" s="299"/>
      <c r="E41" s="667"/>
      <c r="F41" s="667"/>
      <c r="G41" s="667"/>
      <c r="H41" s="667"/>
      <c r="I41" s="667"/>
      <c r="J41" s="667"/>
      <c r="K41" s="667"/>
      <c r="L41" s="667"/>
      <c r="M41" s="667"/>
      <c r="N41" s="667"/>
      <c r="O41" s="667"/>
      <c r="P41" s="667"/>
      <c r="Q41" s="667"/>
      <c r="R41" s="668"/>
    </row>
    <row r="42" spans="1:18" ht="20.100000000000001" customHeight="1">
      <c r="A42" s="194"/>
      <c r="B42" s="187"/>
      <c r="C42" s="705" t="s">
        <v>809</v>
      </c>
      <c r="D42" s="654"/>
      <c r="E42" s="695" t="s">
        <v>810</v>
      </c>
      <c r="F42" s="665"/>
      <c r="G42" s="665"/>
      <c r="H42" s="665"/>
      <c r="I42" s="665"/>
      <c r="J42" s="665"/>
      <c r="K42" s="665"/>
      <c r="L42" s="665"/>
      <c r="M42" s="665"/>
      <c r="N42" s="665"/>
      <c r="O42" s="665"/>
      <c r="P42" s="665"/>
      <c r="Q42" s="665"/>
      <c r="R42" s="666"/>
    </row>
    <row r="43" spans="1:18" ht="20.100000000000001" customHeight="1">
      <c r="A43" s="194"/>
      <c r="B43" s="187"/>
      <c r="C43" s="706"/>
      <c r="D43" s="655"/>
      <c r="E43" s="696" t="s">
        <v>811</v>
      </c>
      <c r="F43" s="697"/>
      <c r="G43" s="697"/>
      <c r="H43" s="697"/>
      <c r="I43" s="697"/>
      <c r="J43" s="697"/>
      <c r="K43" s="697"/>
      <c r="L43" s="697"/>
      <c r="M43" s="697"/>
      <c r="N43" s="697"/>
      <c r="O43" s="697"/>
      <c r="P43" s="697"/>
      <c r="Q43" s="697"/>
      <c r="R43" s="698"/>
    </row>
    <row r="44" spans="1:18" ht="16.149999999999999" customHeight="1" thickBot="1">
      <c r="A44" s="194"/>
      <c r="B44" s="187"/>
      <c r="C44" s="706"/>
      <c r="D44" s="655"/>
      <c r="E44" s="699"/>
      <c r="F44" s="700"/>
      <c r="G44" s="700"/>
      <c r="H44" s="700"/>
      <c r="I44" s="700"/>
      <c r="J44" s="700"/>
      <c r="K44" s="700"/>
      <c r="L44" s="700"/>
      <c r="M44" s="700"/>
      <c r="N44" s="700"/>
      <c r="O44" s="700"/>
      <c r="P44" s="700"/>
      <c r="Q44" s="700"/>
      <c r="R44" s="701"/>
    </row>
    <row r="45" spans="1:18" ht="15.6" customHeight="1">
      <c r="A45" s="194"/>
      <c r="B45" s="187"/>
      <c r="C45" s="706"/>
      <c r="D45" s="655"/>
      <c r="E45" s="702" t="s">
        <v>812</v>
      </c>
      <c r="F45" s="703"/>
      <c r="G45" s="703"/>
      <c r="H45" s="703"/>
      <c r="I45" s="703"/>
      <c r="J45" s="703"/>
      <c r="K45" s="703"/>
      <c r="L45" s="703"/>
      <c r="M45" s="703"/>
      <c r="N45" s="703"/>
      <c r="O45" s="703"/>
      <c r="P45" s="703"/>
      <c r="Q45" s="703"/>
      <c r="R45" s="704"/>
    </row>
    <row r="46" spans="1:18" ht="15.6" customHeight="1">
      <c r="A46" s="194"/>
      <c r="B46" s="187"/>
      <c r="C46" s="706"/>
      <c r="D46" s="655"/>
      <c r="E46" s="696" t="s">
        <v>813</v>
      </c>
      <c r="F46" s="697"/>
      <c r="G46" s="697"/>
      <c r="H46" s="697"/>
      <c r="I46" s="697"/>
      <c r="J46" s="697"/>
      <c r="K46" s="697"/>
      <c r="L46" s="697"/>
      <c r="M46" s="697"/>
      <c r="N46" s="697"/>
      <c r="O46" s="697"/>
      <c r="P46" s="697"/>
      <c r="Q46" s="697"/>
      <c r="R46" s="698"/>
    </row>
    <row r="47" spans="1:18" ht="16.5" thickBot="1">
      <c r="A47" s="194"/>
      <c r="B47" s="187"/>
      <c r="C47" s="707"/>
      <c r="D47" s="656"/>
      <c r="E47" s="699"/>
      <c r="F47" s="700"/>
      <c r="G47" s="700"/>
      <c r="H47" s="700"/>
      <c r="I47" s="700"/>
      <c r="J47" s="700"/>
      <c r="K47" s="700"/>
      <c r="L47" s="700"/>
      <c r="M47" s="700"/>
      <c r="N47" s="700"/>
      <c r="O47" s="700"/>
      <c r="P47" s="700"/>
      <c r="Q47" s="700"/>
      <c r="R47" s="701"/>
    </row>
    <row r="48" spans="1:18" ht="15.75">
      <c r="A48" s="194"/>
      <c r="B48" s="187"/>
      <c r="C48" s="195"/>
      <c r="D48" s="195"/>
      <c r="E48" s="196"/>
      <c r="F48" s="196"/>
      <c r="G48" s="196"/>
      <c r="H48" s="196"/>
      <c r="I48" s="196"/>
      <c r="J48" s="196"/>
      <c r="K48" s="196"/>
      <c r="L48" s="196"/>
      <c r="M48" s="196"/>
      <c r="N48" s="187"/>
      <c r="O48" s="187"/>
      <c r="P48" s="187"/>
      <c r="Q48" s="187"/>
      <c r="R48" s="188"/>
    </row>
    <row r="49" spans="1:18" ht="15.75">
      <c r="A49" s="189" t="s">
        <v>285</v>
      </c>
      <c r="B49" s="190" t="s">
        <v>341</v>
      </c>
      <c r="C49" s="186"/>
      <c r="D49" s="186"/>
      <c r="E49" s="186"/>
      <c r="F49" s="186"/>
      <c r="G49" s="186"/>
      <c r="H49" s="186"/>
      <c r="I49" s="186"/>
      <c r="J49" s="186"/>
      <c r="K49" s="186"/>
      <c r="L49" s="187"/>
      <c r="M49" s="187"/>
      <c r="N49" s="187"/>
      <c r="O49" s="187"/>
      <c r="P49" s="187"/>
      <c r="Q49" s="187"/>
      <c r="R49" s="188"/>
    </row>
    <row r="50" spans="1:18" ht="15.75">
      <c r="A50" s="185"/>
      <c r="B50" s="186"/>
      <c r="C50" s="186"/>
      <c r="D50" s="186"/>
      <c r="E50" s="186"/>
      <c r="F50" s="186"/>
      <c r="G50" s="186"/>
      <c r="H50" s="186"/>
      <c r="I50" s="186"/>
      <c r="J50" s="186"/>
      <c r="K50" s="186"/>
      <c r="L50" s="187"/>
      <c r="M50" s="187"/>
      <c r="N50" s="187"/>
      <c r="O50" s="187"/>
      <c r="P50" s="187"/>
      <c r="Q50" s="187"/>
      <c r="R50" s="188"/>
    </row>
    <row r="51" spans="1:18" ht="15.75" thickBot="1">
      <c r="A51" s="197"/>
      <c r="B51" s="198"/>
      <c r="C51" s="198"/>
      <c r="D51" s="198"/>
      <c r="E51" s="198"/>
      <c r="F51" s="198"/>
      <c r="G51" s="198"/>
      <c r="H51" s="198"/>
      <c r="I51" s="198"/>
      <c r="J51" s="198"/>
      <c r="K51" s="198"/>
      <c r="L51" s="198"/>
      <c r="M51" s="198"/>
      <c r="N51" s="198"/>
      <c r="O51" s="198"/>
      <c r="P51" s="198"/>
      <c r="Q51" s="198"/>
      <c r="R51" s="199"/>
    </row>
  </sheetData>
  <sheetProtection algorithmName="SHA-512" hashValue="xNb1gULhYVBiFnoDjOWgr1b209oG75pX+Ew7p5Jqop3suQCnYEeLWOY42sMdiHzPDqdaNGeFW1LutAirFK5LGg==" saltValue="9RDawFUIPt18jwZcUoFcBw==" spinCount="100000" sheet="1" objects="1" scenarios="1"/>
  <mergeCells count="40">
    <mergeCell ref="E42:R42"/>
    <mergeCell ref="E43:R44"/>
    <mergeCell ref="E45:R45"/>
    <mergeCell ref="E46:R47"/>
    <mergeCell ref="C42:C47"/>
    <mergeCell ref="A1:R3"/>
    <mergeCell ref="A7:R7"/>
    <mergeCell ref="E40:R41"/>
    <mergeCell ref="E26:R26"/>
    <mergeCell ref="E23:R23"/>
    <mergeCell ref="E24:R24"/>
    <mergeCell ref="C12:R12"/>
    <mergeCell ref="E22:R22"/>
    <mergeCell ref="E14:R14"/>
    <mergeCell ref="E16:R16"/>
    <mergeCell ref="C16:C21"/>
    <mergeCell ref="A6:R6"/>
    <mergeCell ref="A5:R5"/>
    <mergeCell ref="E15:R15"/>
    <mergeCell ref="E17:R17"/>
    <mergeCell ref="A4:R4"/>
    <mergeCell ref="E19:R19"/>
    <mergeCell ref="C22:C25"/>
    <mergeCell ref="C13:R13"/>
    <mergeCell ref="E27:R27"/>
    <mergeCell ref="E18:R18"/>
    <mergeCell ref="E20:R20"/>
    <mergeCell ref="E21:R21"/>
    <mergeCell ref="E25:R25"/>
    <mergeCell ref="E29:R29"/>
    <mergeCell ref="E34:R34"/>
    <mergeCell ref="E28:R28"/>
    <mergeCell ref="E38:R39"/>
    <mergeCell ref="E31:R31"/>
    <mergeCell ref="E30:R30"/>
    <mergeCell ref="E37:R37"/>
    <mergeCell ref="E35:R35"/>
    <mergeCell ref="E36:R36"/>
    <mergeCell ref="E32:R32"/>
    <mergeCell ref="E33:R33"/>
  </mergeCells>
  <pageMargins left="0.7" right="0.7" top="0.75" bottom="0.75" header="0.3" footer="0.3"/>
  <pageSetup scale="59"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dimension ref="A1:Y77"/>
  <sheetViews>
    <sheetView zoomScale="80" zoomScaleNormal="80" workbookViewId="0">
      <selection activeCell="H27" sqref="H27"/>
    </sheetView>
  </sheetViews>
  <sheetFormatPr defaultColWidth="9.140625" defaultRowHeight="15.75"/>
  <cols>
    <col min="1" max="1" width="38.140625" style="22" bestFit="1" customWidth="1"/>
    <col min="2" max="2" width="9.5703125" style="22" customWidth="1"/>
    <col min="3" max="3" width="13" style="22" customWidth="1"/>
    <col min="4" max="4" width="11.5703125" style="22" customWidth="1"/>
    <col min="5" max="5" width="8.7109375" style="22" customWidth="1"/>
    <col min="6" max="6" width="12.7109375" style="22" customWidth="1"/>
    <col min="7" max="7" width="9.28515625" style="22" customWidth="1"/>
    <col min="8" max="9" width="7.42578125" style="22" customWidth="1"/>
    <col min="10" max="10" width="11.7109375" style="22" bestFit="1" customWidth="1"/>
    <col min="11" max="11" width="9.5703125" style="22" customWidth="1"/>
    <col min="12" max="12" width="7.28515625" style="22" customWidth="1"/>
    <col min="13" max="13" width="10.7109375" style="22" customWidth="1"/>
    <col min="14" max="14" width="14.85546875" style="22" bestFit="1" customWidth="1"/>
    <col min="15" max="15" width="14.28515625" style="22" bestFit="1" customWidth="1"/>
    <col min="16" max="17" width="9.140625" style="22"/>
    <col min="18" max="18" width="9.28515625" style="22" customWidth="1"/>
    <col min="19" max="19" width="9.140625" style="22" customWidth="1"/>
    <col min="20" max="16384" width="9.140625" style="22"/>
  </cols>
  <sheetData>
    <row r="1" spans="1:25">
      <c r="A1" s="22">
        <v>1</v>
      </c>
      <c r="B1" s="22">
        <v>2</v>
      </c>
      <c r="C1" s="22">
        <v>3</v>
      </c>
      <c r="D1" s="22">
        <v>4</v>
      </c>
      <c r="E1" s="22">
        <v>5</v>
      </c>
      <c r="F1" s="22">
        <v>6</v>
      </c>
      <c r="G1" s="22">
        <v>7</v>
      </c>
      <c r="H1" s="22">
        <v>8</v>
      </c>
      <c r="I1" s="22">
        <v>9</v>
      </c>
      <c r="J1" s="22">
        <v>10</v>
      </c>
      <c r="K1" s="22">
        <v>11</v>
      </c>
      <c r="L1" s="22">
        <v>12</v>
      </c>
      <c r="M1" s="22">
        <v>13</v>
      </c>
      <c r="N1" s="22">
        <v>14</v>
      </c>
      <c r="O1" s="22">
        <v>15</v>
      </c>
    </row>
    <row r="2" spans="1:25">
      <c r="B2" s="825" t="s">
        <v>0</v>
      </c>
      <c r="C2" s="825"/>
      <c r="D2" s="825"/>
      <c r="E2" s="825"/>
      <c r="F2" s="825"/>
      <c r="G2" s="825"/>
      <c r="H2" s="825"/>
      <c r="I2" s="825"/>
      <c r="J2" s="57"/>
    </row>
    <row r="3" spans="1:25">
      <c r="A3" s="520" t="s">
        <v>1</v>
      </c>
      <c r="B3" s="2" t="s">
        <v>2</v>
      </c>
      <c r="C3" s="2" t="s">
        <v>3</v>
      </c>
      <c r="D3" s="2" t="s">
        <v>4</v>
      </c>
      <c r="E3" s="2" t="s">
        <v>5</v>
      </c>
      <c r="F3" s="2" t="s">
        <v>6</v>
      </c>
      <c r="G3" s="2" t="s">
        <v>7</v>
      </c>
      <c r="H3" s="2" t="s">
        <v>8</v>
      </c>
      <c r="I3" s="2" t="s">
        <v>9</v>
      </c>
      <c r="J3" s="2" t="s">
        <v>700</v>
      </c>
      <c r="K3" s="2" t="s">
        <v>10</v>
      </c>
      <c r="L3" s="2" t="s">
        <v>11</v>
      </c>
      <c r="M3" s="2" t="s">
        <v>12</v>
      </c>
      <c r="N3" s="2" t="s">
        <v>122</v>
      </c>
      <c r="O3" s="20" t="s">
        <v>143</v>
      </c>
    </row>
    <row r="4" spans="1:25">
      <c r="A4" s="2" t="s">
        <v>13</v>
      </c>
      <c r="B4" s="2"/>
      <c r="C4" s="2"/>
      <c r="D4" s="2"/>
      <c r="E4" s="2"/>
      <c r="F4" s="2"/>
      <c r="G4" s="2"/>
      <c r="H4" s="2"/>
      <c r="I4" s="2"/>
      <c r="J4" s="2"/>
      <c r="K4" s="2"/>
      <c r="L4" s="2"/>
      <c r="M4" s="2">
        <v>1</v>
      </c>
      <c r="N4" s="2" t="s">
        <v>13</v>
      </c>
      <c r="O4" s="22">
        <v>0</v>
      </c>
    </row>
    <row r="5" spans="1:25">
      <c r="A5" s="2" t="s">
        <v>17</v>
      </c>
      <c r="B5" s="2">
        <f>11.7*0.1</f>
        <v>1.17</v>
      </c>
      <c r="C5" s="2">
        <f>11.7*0.34</f>
        <v>3.9780000000000002</v>
      </c>
      <c r="D5" s="2"/>
      <c r="E5" s="2"/>
      <c r="F5" s="2"/>
      <c r="G5" s="2"/>
      <c r="H5" s="2"/>
      <c r="I5" s="2"/>
      <c r="J5" s="2"/>
      <c r="K5" s="2">
        <v>11.7</v>
      </c>
      <c r="L5" s="2" t="s">
        <v>15</v>
      </c>
      <c r="M5" s="2">
        <v>2000</v>
      </c>
      <c r="N5" s="2" t="s">
        <v>16</v>
      </c>
      <c r="O5" s="339">
        <v>0</v>
      </c>
      <c r="R5" s="129" t="s">
        <v>472</v>
      </c>
    </row>
    <row r="6" spans="1:25">
      <c r="A6" s="2" t="s">
        <v>23</v>
      </c>
      <c r="B6" s="2">
        <v>0.21</v>
      </c>
      <c r="C6" s="2"/>
      <c r="D6" s="2"/>
      <c r="E6" s="2">
        <v>0.24</v>
      </c>
      <c r="F6" s="2"/>
      <c r="G6" s="2"/>
      <c r="H6" s="2"/>
      <c r="I6" s="2"/>
      <c r="J6" s="2"/>
      <c r="K6" s="2">
        <v>1</v>
      </c>
      <c r="L6" s="2" t="s">
        <v>19</v>
      </c>
      <c r="M6" s="2">
        <v>2000</v>
      </c>
      <c r="N6" s="2" t="s">
        <v>16</v>
      </c>
      <c r="O6" s="339">
        <v>0</v>
      </c>
      <c r="R6" s="6" t="s">
        <v>474</v>
      </c>
    </row>
    <row r="7" spans="1:25">
      <c r="A7" s="2" t="s">
        <v>27</v>
      </c>
      <c r="B7" s="2">
        <v>0.82</v>
      </c>
      <c r="C7" s="2"/>
      <c r="D7" s="2"/>
      <c r="E7" s="2"/>
      <c r="F7" s="2"/>
      <c r="G7" s="2"/>
      <c r="H7" s="2"/>
      <c r="I7" s="2"/>
      <c r="J7" s="2"/>
      <c r="K7" s="2">
        <v>1</v>
      </c>
      <c r="L7" s="2" t="s">
        <v>19</v>
      </c>
      <c r="M7" s="2">
        <v>2000</v>
      </c>
      <c r="N7" s="2" t="s">
        <v>16</v>
      </c>
      <c r="O7" s="339">
        <v>0</v>
      </c>
      <c r="R7" s="826" t="s">
        <v>475</v>
      </c>
      <c r="S7" s="826"/>
      <c r="T7" s="826"/>
      <c r="U7" s="826"/>
      <c r="V7" s="826"/>
      <c r="W7" s="826"/>
      <c r="X7" s="826"/>
      <c r="Y7" s="826"/>
    </row>
    <row r="8" spans="1:25">
      <c r="A8" s="2" t="s">
        <v>22</v>
      </c>
      <c r="B8" s="2">
        <v>0.18</v>
      </c>
      <c r="C8" s="2">
        <v>0.46</v>
      </c>
      <c r="D8" s="2"/>
      <c r="E8" s="2"/>
      <c r="F8" s="2"/>
      <c r="G8" s="2"/>
      <c r="H8" s="2"/>
      <c r="I8" s="2"/>
      <c r="J8" s="2"/>
      <c r="K8" s="2">
        <v>1</v>
      </c>
      <c r="L8" s="2" t="s">
        <v>19</v>
      </c>
      <c r="M8" s="2">
        <v>2000</v>
      </c>
      <c r="N8" s="2" t="s">
        <v>16</v>
      </c>
      <c r="O8" s="339">
        <v>0</v>
      </c>
      <c r="Q8" s="300"/>
    </row>
    <row r="9" spans="1:25">
      <c r="A9" s="2" t="s">
        <v>26</v>
      </c>
      <c r="B9" s="2"/>
      <c r="C9" s="2"/>
      <c r="D9" s="2"/>
      <c r="E9" s="2">
        <v>0.17</v>
      </c>
      <c r="F9" s="2"/>
      <c r="G9" s="2">
        <v>0.21</v>
      </c>
      <c r="H9" s="2"/>
      <c r="I9" s="2"/>
      <c r="J9" s="2"/>
      <c r="K9" s="2">
        <v>1</v>
      </c>
      <c r="L9" s="2" t="s">
        <v>19</v>
      </c>
      <c r="M9" s="2">
        <v>2000</v>
      </c>
      <c r="N9" s="2" t="s">
        <v>16</v>
      </c>
      <c r="O9" s="339">
        <v>0</v>
      </c>
      <c r="Q9" s="300"/>
    </row>
    <row r="10" spans="1:25">
      <c r="A10" s="2" t="s">
        <v>24</v>
      </c>
      <c r="B10" s="2"/>
      <c r="C10" s="2"/>
      <c r="D10" s="2">
        <v>0.22</v>
      </c>
      <c r="E10" s="2">
        <v>0.21</v>
      </c>
      <c r="F10" s="2">
        <v>0.11</v>
      </c>
      <c r="G10" s="2"/>
      <c r="H10" s="2"/>
      <c r="I10" s="2"/>
      <c r="J10" s="2"/>
      <c r="K10" s="2">
        <v>1</v>
      </c>
      <c r="L10" s="2" t="s">
        <v>19</v>
      </c>
      <c r="M10" s="2">
        <v>2000</v>
      </c>
      <c r="N10" s="2" t="s">
        <v>16</v>
      </c>
      <c r="O10" s="339">
        <v>0</v>
      </c>
      <c r="Q10" s="300"/>
    </row>
    <row r="11" spans="1:25">
      <c r="A11" s="2" t="s">
        <v>137</v>
      </c>
      <c r="B11" s="2">
        <v>0.11</v>
      </c>
      <c r="C11" s="2">
        <v>0.52</v>
      </c>
      <c r="D11" s="2"/>
      <c r="E11" s="2"/>
      <c r="F11" s="2"/>
      <c r="G11" s="2"/>
      <c r="H11" s="2"/>
      <c r="I11" s="2"/>
      <c r="J11" s="2"/>
      <c r="K11" s="2">
        <v>1</v>
      </c>
      <c r="L11" s="2" t="s">
        <v>19</v>
      </c>
      <c r="M11" s="2">
        <v>2000</v>
      </c>
      <c r="N11" s="2" t="s">
        <v>16</v>
      </c>
      <c r="O11" s="339">
        <v>0</v>
      </c>
    </row>
    <row r="12" spans="1:25">
      <c r="A12" s="2" t="s">
        <v>603</v>
      </c>
      <c r="B12" s="2">
        <v>0.12</v>
      </c>
      <c r="C12" s="2">
        <v>0.4</v>
      </c>
      <c r="D12" s="2"/>
      <c r="E12" s="2">
        <v>0.1</v>
      </c>
      <c r="F12" s="2"/>
      <c r="G12" s="2"/>
      <c r="H12" s="2">
        <v>0.01</v>
      </c>
      <c r="I12" s="2"/>
      <c r="J12" s="2"/>
      <c r="K12" s="2">
        <v>1</v>
      </c>
      <c r="L12" s="2" t="s">
        <v>19</v>
      </c>
      <c r="M12" s="2">
        <v>2000</v>
      </c>
      <c r="N12" s="2" t="s">
        <v>16</v>
      </c>
      <c r="O12" s="339">
        <v>0</v>
      </c>
    </row>
    <row r="13" spans="1:25">
      <c r="A13" s="2" t="s">
        <v>20</v>
      </c>
      <c r="B13" s="2"/>
      <c r="C13" s="2"/>
      <c r="D13" s="2">
        <f>0.62</f>
        <v>0.62</v>
      </c>
      <c r="E13" s="2"/>
      <c r="F13" s="2"/>
      <c r="G13" s="2"/>
      <c r="H13" s="2"/>
      <c r="I13" s="2"/>
      <c r="J13" s="2"/>
      <c r="K13" s="2">
        <v>1</v>
      </c>
      <c r="L13" s="2" t="s">
        <v>19</v>
      </c>
      <c r="M13" s="2">
        <v>2000</v>
      </c>
      <c r="N13" s="2" t="s">
        <v>16</v>
      </c>
      <c r="O13" s="339">
        <v>0</v>
      </c>
    </row>
    <row r="14" spans="1:25">
      <c r="A14" s="2" t="s">
        <v>647</v>
      </c>
      <c r="B14" s="2"/>
      <c r="C14" s="2"/>
      <c r="D14" s="2">
        <v>0.52</v>
      </c>
      <c r="E14" s="2">
        <v>0.18</v>
      </c>
      <c r="F14" s="2"/>
      <c r="G14" s="2"/>
      <c r="H14" s="2"/>
      <c r="I14" s="2"/>
      <c r="J14" s="2"/>
      <c r="K14" s="2">
        <v>1</v>
      </c>
      <c r="L14" s="2" t="s">
        <v>19</v>
      </c>
      <c r="M14" s="2">
        <v>2000</v>
      </c>
      <c r="N14" s="2" t="s">
        <v>16</v>
      </c>
      <c r="O14" s="339">
        <v>0</v>
      </c>
    </row>
    <row r="15" spans="1:25">
      <c r="A15" s="2" t="s">
        <v>790</v>
      </c>
      <c r="B15" s="2">
        <v>0.46</v>
      </c>
      <c r="C15" s="2"/>
      <c r="D15" s="2"/>
      <c r="E15" s="2"/>
      <c r="F15" s="2"/>
      <c r="G15" s="2"/>
      <c r="H15" s="2"/>
      <c r="I15" s="2"/>
      <c r="J15" s="2"/>
      <c r="K15" s="2">
        <v>1</v>
      </c>
      <c r="L15" s="2" t="s">
        <v>19</v>
      </c>
      <c r="M15" s="2">
        <v>2000</v>
      </c>
      <c r="N15" s="2" t="s">
        <v>16</v>
      </c>
      <c r="O15" s="339">
        <v>0</v>
      </c>
    </row>
    <row r="16" spans="1:25">
      <c r="A16" s="2" t="s">
        <v>21</v>
      </c>
      <c r="B16" s="2">
        <f>11.04*0.12</f>
        <v>1.3247999999999998</v>
      </c>
      <c r="C16" s="2"/>
      <c r="D16" s="2"/>
      <c r="E16" s="2">
        <f>11.04*0.26</f>
        <v>2.8704000000000001</v>
      </c>
      <c r="F16" s="2"/>
      <c r="G16" s="2"/>
      <c r="H16" s="2"/>
      <c r="I16" s="2"/>
      <c r="J16" s="2"/>
      <c r="K16" s="2">
        <v>11.04</v>
      </c>
      <c r="L16" s="2" t="s">
        <v>15</v>
      </c>
      <c r="M16" s="2">
        <v>2000</v>
      </c>
      <c r="N16" s="2" t="s">
        <v>16</v>
      </c>
      <c r="O16" s="339">
        <v>0</v>
      </c>
    </row>
    <row r="17" spans="1:23">
      <c r="A17" s="2" t="s">
        <v>646</v>
      </c>
      <c r="B17" s="2"/>
      <c r="C17" s="2">
        <v>0.46</v>
      </c>
      <c r="D17" s="2"/>
      <c r="E17" s="2"/>
      <c r="F17" s="2"/>
      <c r="G17" s="2"/>
      <c r="H17" s="2"/>
      <c r="I17" s="2"/>
      <c r="J17" s="2"/>
      <c r="K17" s="2">
        <v>1</v>
      </c>
      <c r="L17" s="2" t="s">
        <v>19</v>
      </c>
      <c r="M17" s="2">
        <v>2000</v>
      </c>
      <c r="N17" s="2" t="s">
        <v>16</v>
      </c>
      <c r="O17" s="339">
        <v>0</v>
      </c>
    </row>
    <row r="18" spans="1:23">
      <c r="A18" s="2" t="s">
        <v>14</v>
      </c>
      <c r="B18" s="2">
        <f>10.67*0.28</f>
        <v>2.9876000000000005</v>
      </c>
      <c r="C18" s="2"/>
      <c r="D18" s="2"/>
      <c r="E18" s="2"/>
      <c r="F18" s="2"/>
      <c r="G18" s="2"/>
      <c r="H18" s="2"/>
      <c r="I18" s="2"/>
      <c r="J18" s="2"/>
      <c r="K18" s="2">
        <v>10.67</v>
      </c>
      <c r="L18" s="2" t="s">
        <v>15</v>
      </c>
      <c r="M18" s="2">
        <v>2000</v>
      </c>
      <c r="N18" s="2" t="s">
        <v>16</v>
      </c>
      <c r="O18" s="339">
        <v>0</v>
      </c>
    </row>
    <row r="19" spans="1:23">
      <c r="A19" s="2" t="s">
        <v>678</v>
      </c>
      <c r="B19" s="2">
        <f>K19*0.32</f>
        <v>3.5392000000000001</v>
      </c>
      <c r="C19" s="2"/>
      <c r="D19" s="2"/>
      <c r="E19" s="2"/>
      <c r="F19" s="2"/>
      <c r="G19" s="2"/>
      <c r="H19" s="2"/>
      <c r="I19" s="2"/>
      <c r="J19" s="2"/>
      <c r="K19" s="2">
        <v>11.06</v>
      </c>
      <c r="L19" s="2" t="s">
        <v>15</v>
      </c>
      <c r="M19" s="2">
        <v>2001</v>
      </c>
      <c r="N19" s="2" t="s">
        <v>16</v>
      </c>
      <c r="O19" s="339">
        <v>0</v>
      </c>
      <c r="R19" s="110" t="s">
        <v>766</v>
      </c>
    </row>
    <row r="20" spans="1:23">
      <c r="A20" s="2" t="s">
        <v>18</v>
      </c>
      <c r="B20" s="2">
        <f>0.46</f>
        <v>0.46</v>
      </c>
      <c r="C20" s="2"/>
      <c r="D20" s="2"/>
      <c r="E20" s="2"/>
      <c r="F20" s="2"/>
      <c r="G20" s="2"/>
      <c r="H20" s="2"/>
      <c r="I20" s="2"/>
      <c r="J20" s="2"/>
      <c r="K20" s="2">
        <v>1</v>
      </c>
      <c r="L20" s="2" t="s">
        <v>19</v>
      </c>
      <c r="M20" s="2">
        <v>2000</v>
      </c>
      <c r="N20" s="2" t="s">
        <v>16</v>
      </c>
      <c r="O20" s="339">
        <v>0</v>
      </c>
      <c r="R20" s="623" t="s">
        <v>764</v>
      </c>
    </row>
    <row r="21" spans="1:23">
      <c r="A21" s="2" t="s">
        <v>639</v>
      </c>
      <c r="B21" s="2">
        <v>0.1</v>
      </c>
      <c r="C21" s="2">
        <v>0.1</v>
      </c>
      <c r="D21" s="2">
        <v>0.1</v>
      </c>
      <c r="E21" s="2"/>
      <c r="F21" s="2"/>
      <c r="G21" s="2"/>
      <c r="H21" s="2"/>
      <c r="I21" s="2"/>
      <c r="J21" s="2"/>
      <c r="K21" s="2">
        <v>1</v>
      </c>
      <c r="L21" s="2" t="s">
        <v>19</v>
      </c>
      <c r="M21" s="2">
        <v>2000</v>
      </c>
      <c r="N21" s="2" t="s">
        <v>16</v>
      </c>
      <c r="O21" s="339">
        <v>0</v>
      </c>
      <c r="R21" s="623" t="s">
        <v>763</v>
      </c>
      <c r="T21" s="600" t="s">
        <v>762</v>
      </c>
    </row>
    <row r="22" spans="1:23">
      <c r="A22" s="2" t="s">
        <v>640</v>
      </c>
      <c r="B22" s="2">
        <v>0.12</v>
      </c>
      <c r="C22" s="2">
        <v>0.24</v>
      </c>
      <c r="D22" s="2">
        <v>0.24</v>
      </c>
      <c r="E22" s="2"/>
      <c r="F22" s="2"/>
      <c r="G22" s="2"/>
      <c r="H22" s="2"/>
      <c r="I22" s="2"/>
      <c r="J22" s="2"/>
      <c r="K22" s="2">
        <v>1</v>
      </c>
      <c r="L22" s="2" t="s">
        <v>19</v>
      </c>
      <c r="M22" s="2">
        <v>2000</v>
      </c>
      <c r="N22" s="2" t="s">
        <v>16</v>
      </c>
      <c r="O22" s="339">
        <v>0</v>
      </c>
    </row>
    <row r="23" spans="1:23">
      <c r="A23" s="2" t="s">
        <v>641</v>
      </c>
      <c r="B23" s="2">
        <v>0.15</v>
      </c>
      <c r="C23" s="2">
        <v>0.15</v>
      </c>
      <c r="D23" s="2">
        <v>0.15</v>
      </c>
      <c r="E23" s="2"/>
      <c r="F23" s="2"/>
      <c r="G23" s="2"/>
      <c r="H23" s="2"/>
      <c r="I23" s="2"/>
      <c r="J23" s="2"/>
      <c r="K23" s="2">
        <v>1</v>
      </c>
      <c r="L23" s="2" t="s">
        <v>19</v>
      </c>
      <c r="M23" s="2">
        <v>2000</v>
      </c>
      <c r="N23" s="2" t="s">
        <v>16</v>
      </c>
      <c r="O23" s="339">
        <v>0</v>
      </c>
      <c r="R23" s="624" t="s">
        <v>761</v>
      </c>
      <c r="S23"/>
      <c r="T23"/>
      <c r="U23"/>
      <c r="V23"/>
      <c r="W23"/>
    </row>
    <row r="24" spans="1:23">
      <c r="A24" s="2" t="s">
        <v>642</v>
      </c>
      <c r="B24" s="2">
        <f>0.158*K24</f>
        <v>1.738</v>
      </c>
      <c r="C24" s="2">
        <f>0.15*K24</f>
        <v>1.65</v>
      </c>
      <c r="D24" s="2">
        <f>0.02*K24</f>
        <v>0.22</v>
      </c>
      <c r="E24" s="2"/>
      <c r="F24" s="2"/>
      <c r="G24" s="2"/>
      <c r="H24" s="2"/>
      <c r="I24" s="2"/>
      <c r="J24" s="2"/>
      <c r="K24" s="2">
        <v>11</v>
      </c>
      <c r="L24" s="2" t="s">
        <v>15</v>
      </c>
      <c r="M24" s="2">
        <v>2000</v>
      </c>
      <c r="N24" s="2" t="s">
        <v>16</v>
      </c>
      <c r="O24" s="339">
        <v>0</v>
      </c>
      <c r="R24" s="827" t="s">
        <v>760</v>
      </c>
      <c r="S24" s="827"/>
      <c r="T24" s="827"/>
      <c r="U24" s="827"/>
      <c r="V24" s="827"/>
      <c r="W24" s="625"/>
    </row>
    <row r="25" spans="1:23">
      <c r="A25" s="2" t="s">
        <v>643</v>
      </c>
      <c r="B25" s="2">
        <v>0.19</v>
      </c>
      <c r="C25" s="2">
        <v>0.19</v>
      </c>
      <c r="D25" s="2">
        <v>0.19</v>
      </c>
      <c r="E25" s="2"/>
      <c r="F25" s="2"/>
      <c r="G25" s="2"/>
      <c r="H25" s="2"/>
      <c r="I25" s="2"/>
      <c r="J25" s="2"/>
      <c r="K25" s="2">
        <v>1</v>
      </c>
      <c r="L25" s="2" t="s">
        <v>19</v>
      </c>
      <c r="M25" s="2">
        <v>2000</v>
      </c>
      <c r="N25" s="2" t="s">
        <v>16</v>
      </c>
      <c r="O25" s="339">
        <v>0</v>
      </c>
      <c r="R25" s="827"/>
      <c r="S25" s="827"/>
      <c r="T25" s="827"/>
      <c r="U25" s="827"/>
      <c r="V25" s="827"/>
      <c r="W25" s="625"/>
    </row>
    <row r="26" spans="1:23" ht="15.6" customHeight="1">
      <c r="A26" s="2" t="s">
        <v>644</v>
      </c>
      <c r="B26" s="2">
        <v>0.05</v>
      </c>
      <c r="C26" s="2">
        <v>0.1</v>
      </c>
      <c r="D26" s="2">
        <v>0.05</v>
      </c>
      <c r="E26" s="2"/>
      <c r="F26" s="2"/>
      <c r="G26" s="2"/>
      <c r="H26" s="2"/>
      <c r="I26" s="2"/>
      <c r="J26" s="2"/>
      <c r="K26" s="2">
        <v>1</v>
      </c>
      <c r="L26" s="2" t="s">
        <v>19</v>
      </c>
      <c r="M26" s="2">
        <v>2000</v>
      </c>
      <c r="N26" s="2" t="s">
        <v>16</v>
      </c>
      <c r="O26" s="339">
        <v>0</v>
      </c>
    </row>
    <row r="27" spans="1:23" ht="16.5" thickBot="1">
      <c r="A27" s="2" t="s">
        <v>645</v>
      </c>
      <c r="B27" s="2">
        <v>0.06</v>
      </c>
      <c r="C27" s="2">
        <v>0.12</v>
      </c>
      <c r="D27" s="2">
        <v>0.12</v>
      </c>
      <c r="E27" s="2"/>
      <c r="F27" s="2"/>
      <c r="G27" s="2"/>
      <c r="H27" s="2"/>
      <c r="I27" s="2"/>
      <c r="J27" s="2"/>
      <c r="K27" s="2">
        <v>1</v>
      </c>
      <c r="L27" s="2" t="s">
        <v>19</v>
      </c>
      <c r="M27" s="2">
        <v>2000</v>
      </c>
      <c r="N27" s="2" t="s">
        <v>16</v>
      </c>
      <c r="O27" s="339">
        <v>0</v>
      </c>
      <c r="R27" s="828" t="s">
        <v>791</v>
      </c>
      <c r="S27" s="828"/>
      <c r="T27" s="828"/>
      <c r="U27" s="828"/>
      <c r="V27" s="828"/>
    </row>
    <row r="28" spans="1:23">
      <c r="A28" s="2" t="s">
        <v>648</v>
      </c>
      <c r="B28" s="2">
        <v>0.98730000000000007</v>
      </c>
      <c r="C28" s="2">
        <v>1.9746000000000001</v>
      </c>
      <c r="D28" s="2">
        <v>0.98730000000000007</v>
      </c>
      <c r="E28" s="2"/>
      <c r="F28" s="2"/>
      <c r="G28" s="2"/>
      <c r="H28" s="2"/>
      <c r="I28" s="2"/>
      <c r="J28" s="2"/>
      <c r="K28" s="2">
        <v>1</v>
      </c>
      <c r="L28" s="2" t="s">
        <v>15</v>
      </c>
      <c r="M28" s="2">
        <v>1</v>
      </c>
      <c r="N28" s="2" t="s">
        <v>25</v>
      </c>
      <c r="O28" s="339">
        <v>0</v>
      </c>
      <c r="R28" s="22" t="s">
        <v>792</v>
      </c>
      <c r="V28" s="23" t="s">
        <v>793</v>
      </c>
    </row>
    <row r="29" spans="1:23">
      <c r="A29" s="2" t="s">
        <v>714</v>
      </c>
      <c r="B29" s="547">
        <f>R30</f>
        <v>0</v>
      </c>
      <c r="C29" s="547">
        <f>S30</f>
        <v>0</v>
      </c>
      <c r="D29" s="547">
        <f>T30</f>
        <v>0</v>
      </c>
      <c r="E29" s="547">
        <f>U30</f>
        <v>0</v>
      </c>
      <c r="F29" s="2"/>
      <c r="G29" s="2"/>
      <c r="H29" s="2"/>
      <c r="I29" s="2"/>
      <c r="J29" s="2"/>
      <c r="K29" s="2">
        <v>2000</v>
      </c>
      <c r="L29" s="2" t="s">
        <v>16</v>
      </c>
      <c r="M29" s="2">
        <v>2000</v>
      </c>
      <c r="N29" s="2" t="s">
        <v>16</v>
      </c>
      <c r="O29" s="339">
        <v>0</v>
      </c>
      <c r="P29" s="626" t="s">
        <v>794</v>
      </c>
      <c r="R29" s="23" t="s">
        <v>112</v>
      </c>
      <c r="S29" s="23" t="s">
        <v>113</v>
      </c>
      <c r="T29" s="23" t="s">
        <v>114</v>
      </c>
      <c r="U29" s="23" t="s">
        <v>115</v>
      </c>
      <c r="V29" s="627"/>
    </row>
    <row r="30" spans="1:23">
      <c r="A30" s="2" t="s">
        <v>715</v>
      </c>
      <c r="B30" s="547">
        <f>R35</f>
        <v>0</v>
      </c>
      <c r="C30" s="547">
        <f>S35</f>
        <v>0</v>
      </c>
      <c r="D30" s="547">
        <f>T35</f>
        <v>0</v>
      </c>
      <c r="E30" s="547">
        <f>U35</f>
        <v>0</v>
      </c>
      <c r="F30" s="2"/>
      <c r="G30" s="2"/>
      <c r="H30" s="2"/>
      <c r="I30" s="2"/>
      <c r="J30" s="2"/>
      <c r="K30" s="2">
        <v>1</v>
      </c>
      <c r="L30" s="2" t="s">
        <v>716</v>
      </c>
      <c r="M30" s="2">
        <v>1</v>
      </c>
      <c r="N30" s="2" t="s">
        <v>25</v>
      </c>
      <c r="O30" s="339">
        <v>0</v>
      </c>
      <c r="P30" s="626" t="s">
        <v>794</v>
      </c>
      <c r="R30" s="519">
        <v>0</v>
      </c>
      <c r="S30" s="519">
        <v>0</v>
      </c>
      <c r="T30" s="519">
        <v>0</v>
      </c>
      <c r="U30" s="519">
        <v>0</v>
      </c>
      <c r="V30" s="628" t="s">
        <v>737</v>
      </c>
    </row>
    <row r="31" spans="1:23">
      <c r="A31" s="2" t="s">
        <v>717</v>
      </c>
      <c r="B31" s="519">
        <v>0</v>
      </c>
      <c r="C31" s="519">
        <v>0</v>
      </c>
      <c r="D31" s="519">
        <v>0</v>
      </c>
      <c r="E31" s="519">
        <v>0</v>
      </c>
      <c r="F31" s="519">
        <v>0</v>
      </c>
      <c r="G31" s="519">
        <v>0</v>
      </c>
      <c r="H31" s="519">
        <v>0</v>
      </c>
      <c r="I31" s="519">
        <v>0</v>
      </c>
      <c r="J31" s="519">
        <v>0</v>
      </c>
      <c r="K31" s="519">
        <v>0</v>
      </c>
      <c r="L31" s="518" t="s">
        <v>699</v>
      </c>
      <c r="M31" s="519">
        <v>0</v>
      </c>
      <c r="N31" s="518" t="s">
        <v>699</v>
      </c>
      <c r="O31" s="339">
        <v>0</v>
      </c>
      <c r="R31" s="629">
        <f>'Manure and Nutrient Credits'!E34</f>
        <v>0</v>
      </c>
      <c r="S31" s="629">
        <f>'Manure and Nutrient Credits'!F34</f>
        <v>0</v>
      </c>
      <c r="T31" s="629">
        <f>'Manure and Nutrient Credits'!G34</f>
        <v>0</v>
      </c>
      <c r="U31" s="629">
        <f>'Manure and Nutrient Credits'!H34</f>
        <v>0</v>
      </c>
      <c r="V31" s="22" t="s">
        <v>795</v>
      </c>
    </row>
    <row r="32" spans="1:23">
      <c r="A32" s="518" t="s">
        <v>699</v>
      </c>
      <c r="B32" s="519">
        <v>0</v>
      </c>
      <c r="C32" s="519">
        <v>0</v>
      </c>
      <c r="D32" s="519">
        <v>0</v>
      </c>
      <c r="E32" s="519">
        <v>0</v>
      </c>
      <c r="F32" s="519">
        <v>0</v>
      </c>
      <c r="G32" s="519">
        <v>0</v>
      </c>
      <c r="H32" s="519">
        <v>0</v>
      </c>
      <c r="I32" s="519">
        <v>0</v>
      </c>
      <c r="J32" s="519">
        <v>0</v>
      </c>
      <c r="K32" s="519">
        <v>0</v>
      </c>
      <c r="L32" s="518" t="s">
        <v>699</v>
      </c>
      <c r="M32" s="519">
        <v>0</v>
      </c>
      <c r="N32" s="518" t="s">
        <v>699</v>
      </c>
      <c r="O32" s="339">
        <v>0</v>
      </c>
    </row>
    <row r="33" spans="1:22">
      <c r="A33" s="518" t="s">
        <v>699</v>
      </c>
      <c r="B33" s="519">
        <v>0</v>
      </c>
      <c r="C33" s="519">
        <v>0</v>
      </c>
      <c r="D33" s="519">
        <v>0</v>
      </c>
      <c r="E33" s="519">
        <v>0</v>
      </c>
      <c r="F33" s="519">
        <v>0</v>
      </c>
      <c r="G33" s="519">
        <v>0</v>
      </c>
      <c r="H33" s="519">
        <v>0</v>
      </c>
      <c r="I33" s="519">
        <v>0</v>
      </c>
      <c r="J33" s="519">
        <v>0</v>
      </c>
      <c r="K33" s="519">
        <v>0</v>
      </c>
      <c r="L33" s="518" t="s">
        <v>699</v>
      </c>
      <c r="M33" s="519">
        <v>0</v>
      </c>
      <c r="N33" s="518" t="s">
        <v>699</v>
      </c>
      <c r="O33" s="339">
        <v>0</v>
      </c>
      <c r="R33" s="22" t="s">
        <v>796</v>
      </c>
      <c r="V33" s="23" t="s">
        <v>793</v>
      </c>
    </row>
    <row r="34" spans="1:22">
      <c r="A34" s="518" t="s">
        <v>699</v>
      </c>
      <c r="B34" s="519">
        <v>0</v>
      </c>
      <c r="C34" s="519">
        <v>0</v>
      </c>
      <c r="D34" s="519">
        <v>0</v>
      </c>
      <c r="E34" s="519">
        <v>0</v>
      </c>
      <c r="F34" s="519">
        <v>0</v>
      </c>
      <c r="G34" s="519">
        <v>0</v>
      </c>
      <c r="H34" s="519">
        <v>0</v>
      </c>
      <c r="I34" s="519">
        <v>0</v>
      </c>
      <c r="J34" s="519">
        <v>0</v>
      </c>
      <c r="K34" s="519">
        <v>0</v>
      </c>
      <c r="L34" s="518" t="s">
        <v>699</v>
      </c>
      <c r="M34" s="519">
        <v>0</v>
      </c>
      <c r="N34" s="518" t="s">
        <v>699</v>
      </c>
      <c r="O34" s="339">
        <v>0</v>
      </c>
      <c r="R34" s="23" t="s">
        <v>112</v>
      </c>
      <c r="S34" s="23" t="s">
        <v>113</v>
      </c>
      <c r="T34" s="23" t="s">
        <v>114</v>
      </c>
      <c r="U34" s="23" t="s">
        <v>115</v>
      </c>
      <c r="V34" s="627"/>
    </row>
    <row r="35" spans="1:22">
      <c r="A35" s="518" t="s">
        <v>699</v>
      </c>
      <c r="B35" s="519">
        <v>0</v>
      </c>
      <c r="C35" s="519">
        <v>0</v>
      </c>
      <c r="D35" s="519">
        <v>0</v>
      </c>
      <c r="E35" s="519">
        <v>0</v>
      </c>
      <c r="F35" s="519">
        <v>0</v>
      </c>
      <c r="G35" s="519">
        <v>0</v>
      </c>
      <c r="H35" s="519">
        <v>0</v>
      </c>
      <c r="I35" s="519">
        <v>0</v>
      </c>
      <c r="J35" s="519">
        <v>0</v>
      </c>
      <c r="K35" s="519">
        <v>0</v>
      </c>
      <c r="L35" s="518" t="s">
        <v>699</v>
      </c>
      <c r="M35" s="519">
        <v>0</v>
      </c>
      <c r="N35" s="518" t="s">
        <v>699</v>
      </c>
      <c r="O35" s="339">
        <v>0</v>
      </c>
      <c r="R35" s="519">
        <v>0</v>
      </c>
      <c r="S35" s="519">
        <v>0</v>
      </c>
      <c r="T35" s="519">
        <v>0</v>
      </c>
      <c r="U35" s="519">
        <v>0</v>
      </c>
      <c r="V35" s="628" t="s">
        <v>737</v>
      </c>
    </row>
    <row r="36" spans="1:22">
      <c r="A36" s="2"/>
      <c r="B36" s="2"/>
      <c r="C36" s="2"/>
      <c r="D36" s="2"/>
      <c r="E36" s="2"/>
      <c r="F36" s="2"/>
      <c r="G36" s="2"/>
      <c r="H36" s="2"/>
      <c r="I36" s="2"/>
      <c r="J36" s="2"/>
      <c r="K36" s="2"/>
      <c r="L36" s="2"/>
      <c r="M36" s="2"/>
      <c r="N36" s="2"/>
      <c r="O36" s="340"/>
      <c r="R36" s="629" t="str">
        <f>'Manure and Nutrient Credits'!E37</f>
        <v>Nitrogen</v>
      </c>
      <c r="S36" s="629" t="str">
        <f>'Manure and Nutrient Credits'!F37</f>
        <v>Phosphorus</v>
      </c>
      <c r="T36" s="629" t="str">
        <f>'Manure and Nutrient Credits'!G37</f>
        <v>Potassium</v>
      </c>
      <c r="U36" s="629" t="str">
        <f>'Manure and Nutrient Credits'!H37</f>
        <v>Sulfur</v>
      </c>
      <c r="V36" s="22" t="s">
        <v>795</v>
      </c>
    </row>
    <row r="37" spans="1:22">
      <c r="A37" s="2"/>
      <c r="B37" s="2"/>
      <c r="C37" s="2"/>
      <c r="D37" s="2"/>
      <c r="E37" s="2"/>
      <c r="F37" s="2"/>
      <c r="G37" s="2"/>
      <c r="H37" s="2"/>
      <c r="I37" s="2"/>
      <c r="J37" s="2"/>
      <c r="K37" s="2"/>
      <c r="L37" s="2"/>
      <c r="M37" s="2"/>
      <c r="N37" s="2"/>
      <c r="O37" s="340"/>
    </row>
    <row r="38" spans="1:22" ht="15.6" hidden="1" customHeight="1">
      <c r="A38" s="520" t="s">
        <v>28</v>
      </c>
      <c r="B38" s="2"/>
      <c r="C38" s="2"/>
      <c r="D38" s="2"/>
      <c r="E38" s="2"/>
      <c r="F38" s="2"/>
      <c r="G38" s="2"/>
      <c r="H38" s="2"/>
      <c r="I38" s="2"/>
      <c r="J38" s="2"/>
      <c r="K38" s="2"/>
      <c r="L38" s="2"/>
      <c r="M38" s="2"/>
      <c r="N38" s="2"/>
      <c r="O38" s="340"/>
    </row>
    <row r="39" spans="1:22">
      <c r="A39" s="2" t="s">
        <v>13</v>
      </c>
      <c r="B39" s="2"/>
      <c r="C39" s="2"/>
      <c r="D39" s="2"/>
      <c r="E39" s="2"/>
      <c r="F39" s="2"/>
      <c r="G39" s="2"/>
      <c r="H39" s="2"/>
      <c r="I39" s="2"/>
      <c r="J39" s="2"/>
      <c r="K39" s="2"/>
      <c r="L39" s="2"/>
      <c r="M39" s="2">
        <v>1</v>
      </c>
      <c r="N39" s="2" t="s">
        <v>13</v>
      </c>
      <c r="O39" s="340">
        <v>0</v>
      </c>
      <c r="R39" s="829" t="s">
        <v>797</v>
      </c>
      <c r="S39" s="829"/>
      <c r="T39" s="829"/>
      <c r="U39" s="829"/>
      <c r="V39" s="829"/>
    </row>
    <row r="40" spans="1:22">
      <c r="A40" s="2" t="s">
        <v>29</v>
      </c>
      <c r="B40" s="2"/>
      <c r="C40" s="2"/>
      <c r="D40" s="2"/>
      <c r="E40" s="2"/>
      <c r="F40" s="2"/>
      <c r="G40" s="2"/>
      <c r="H40" s="2"/>
      <c r="I40" s="2">
        <v>0.14299999999999999</v>
      </c>
      <c r="J40" s="2"/>
      <c r="K40" s="2">
        <v>1</v>
      </c>
      <c r="L40" s="2" t="s">
        <v>19</v>
      </c>
      <c r="M40" s="2">
        <v>1</v>
      </c>
      <c r="N40" s="2" t="s">
        <v>30</v>
      </c>
      <c r="O40" s="339">
        <v>0</v>
      </c>
      <c r="R40" s="829"/>
      <c r="S40" s="829"/>
      <c r="T40" s="829"/>
      <c r="U40" s="829"/>
      <c r="V40" s="829"/>
    </row>
    <row r="41" spans="1:22" ht="15.6" customHeight="1">
      <c r="A41" s="2" t="s">
        <v>31</v>
      </c>
      <c r="B41" s="2"/>
      <c r="C41" s="2"/>
      <c r="D41" s="2"/>
      <c r="E41" s="2"/>
      <c r="F41" s="2"/>
      <c r="G41" s="2"/>
      <c r="H41" s="2">
        <v>0.35499999999999998</v>
      </c>
      <c r="I41" s="2"/>
      <c r="J41" s="2"/>
      <c r="K41" s="2">
        <v>1</v>
      </c>
      <c r="L41" s="2" t="s">
        <v>19</v>
      </c>
      <c r="M41" s="2">
        <v>1</v>
      </c>
      <c r="N41" s="2" t="s">
        <v>30</v>
      </c>
      <c r="O41" s="339">
        <v>0</v>
      </c>
    </row>
    <row r="42" spans="1:22">
      <c r="A42" s="2" t="s">
        <v>365</v>
      </c>
      <c r="B42" s="2">
        <v>0.318</v>
      </c>
      <c r="C42" s="2"/>
      <c r="D42" s="2"/>
      <c r="E42" s="2"/>
      <c r="F42" s="2"/>
      <c r="G42" s="2"/>
      <c r="H42" s="2">
        <v>0.318</v>
      </c>
      <c r="I42" s="2"/>
      <c r="J42" s="2"/>
      <c r="K42" s="2">
        <v>1</v>
      </c>
      <c r="L42" s="2" t="s">
        <v>32</v>
      </c>
      <c r="M42" s="2">
        <v>4</v>
      </c>
      <c r="N42" s="2" t="s">
        <v>25</v>
      </c>
      <c r="O42" s="339">
        <v>0</v>
      </c>
    </row>
    <row r="43" spans="1:22">
      <c r="A43" s="2" t="s">
        <v>366</v>
      </c>
      <c r="B43" s="2"/>
      <c r="C43" s="2"/>
      <c r="D43" s="2"/>
      <c r="E43" s="2"/>
      <c r="F43" s="2"/>
      <c r="G43" s="2"/>
      <c r="H43" s="2"/>
      <c r="I43" s="2">
        <f>(11.12*0.25)*0.1</f>
        <v>0.27799999999999997</v>
      </c>
      <c r="J43" s="2"/>
      <c r="K43" s="2">
        <v>1</v>
      </c>
      <c r="L43" s="2" t="s">
        <v>32</v>
      </c>
      <c r="M43" s="2">
        <v>4</v>
      </c>
      <c r="N43" s="2" t="s">
        <v>25</v>
      </c>
      <c r="O43" s="339">
        <v>0</v>
      </c>
    </row>
    <row r="44" spans="1:22">
      <c r="A44" s="2" t="s">
        <v>701</v>
      </c>
      <c r="B44" s="2"/>
      <c r="C44" s="2"/>
      <c r="D44" s="2"/>
      <c r="E44" s="2">
        <v>0.18</v>
      </c>
      <c r="F44" s="2"/>
      <c r="G44" s="2"/>
      <c r="H44" s="2"/>
      <c r="I44" s="2"/>
      <c r="J44" s="2">
        <v>0.33</v>
      </c>
      <c r="K44" s="2">
        <v>1</v>
      </c>
      <c r="L44" s="2" t="s">
        <v>19</v>
      </c>
      <c r="M44" s="2">
        <v>1</v>
      </c>
      <c r="N44" s="2" t="s">
        <v>30</v>
      </c>
      <c r="O44" s="339">
        <v>0</v>
      </c>
    </row>
    <row r="45" spans="1:22">
      <c r="A45" s="2" t="s">
        <v>702</v>
      </c>
      <c r="B45" s="2">
        <v>35.5</v>
      </c>
      <c r="C45" s="2"/>
      <c r="D45" s="2"/>
      <c r="E45" s="2">
        <v>0.185</v>
      </c>
      <c r="F45" s="2"/>
      <c r="G45" s="2"/>
      <c r="H45" s="2"/>
      <c r="I45" s="2"/>
      <c r="J45" s="2"/>
      <c r="K45" s="2">
        <v>1</v>
      </c>
      <c r="L45" s="2" t="s">
        <v>19</v>
      </c>
      <c r="M45" s="2">
        <v>1</v>
      </c>
      <c r="N45" s="2" t="s">
        <v>30</v>
      </c>
      <c r="O45" s="339">
        <v>0</v>
      </c>
    </row>
    <row r="46" spans="1:22">
      <c r="A46" s="2" t="s">
        <v>703</v>
      </c>
      <c r="B46" s="2"/>
      <c r="C46" s="2"/>
      <c r="D46" s="2"/>
      <c r="E46" s="2">
        <v>0.14000000000000001</v>
      </c>
      <c r="F46" s="2">
        <v>9.0999999999999998E-2</v>
      </c>
      <c r="G46" s="2"/>
      <c r="H46" s="2"/>
      <c r="I46" s="2"/>
      <c r="J46" s="2"/>
      <c r="K46" s="2">
        <v>1</v>
      </c>
      <c r="L46" s="2" t="s">
        <v>19</v>
      </c>
      <c r="M46" s="2">
        <v>1</v>
      </c>
      <c r="N46" s="2" t="s">
        <v>30</v>
      </c>
      <c r="O46" s="339">
        <v>0</v>
      </c>
    </row>
    <row r="47" spans="1:22">
      <c r="A47" s="2" t="s">
        <v>704</v>
      </c>
      <c r="B47" s="2"/>
      <c r="C47" s="2"/>
      <c r="D47" s="2"/>
      <c r="E47" s="2"/>
      <c r="F47" s="2"/>
      <c r="G47" s="2"/>
      <c r="H47" s="2"/>
      <c r="I47" s="2">
        <v>0.1</v>
      </c>
      <c r="J47" s="2"/>
      <c r="K47" s="2">
        <v>1</v>
      </c>
      <c r="L47" s="2" t="s">
        <v>15</v>
      </c>
      <c r="M47" s="2">
        <v>1</v>
      </c>
      <c r="N47" s="2" t="s">
        <v>25</v>
      </c>
      <c r="O47" s="339">
        <v>0</v>
      </c>
    </row>
    <row r="48" spans="1:22">
      <c r="A48" s="2" t="s">
        <v>705</v>
      </c>
      <c r="B48" s="2">
        <v>0.04</v>
      </c>
      <c r="C48" s="2"/>
      <c r="D48" s="2"/>
      <c r="E48" s="2"/>
      <c r="F48" s="2"/>
      <c r="G48" s="2"/>
      <c r="H48" s="2">
        <v>0.09</v>
      </c>
      <c r="I48" s="2"/>
      <c r="J48" s="2"/>
      <c r="K48" s="2">
        <v>1</v>
      </c>
      <c r="L48" s="2" t="s">
        <v>15</v>
      </c>
      <c r="M48" s="2">
        <v>1</v>
      </c>
      <c r="N48" s="2" t="s">
        <v>25</v>
      </c>
      <c r="O48" s="339">
        <v>0</v>
      </c>
    </row>
    <row r="49" spans="1:15">
      <c r="A49" s="518" t="s">
        <v>699</v>
      </c>
      <c r="B49" s="519">
        <v>0</v>
      </c>
      <c r="C49" s="519">
        <v>0</v>
      </c>
      <c r="D49" s="519">
        <v>0</v>
      </c>
      <c r="E49" s="519">
        <v>0</v>
      </c>
      <c r="F49" s="519">
        <v>0</v>
      </c>
      <c r="G49" s="519">
        <v>0</v>
      </c>
      <c r="H49" s="519">
        <v>0</v>
      </c>
      <c r="I49" s="519">
        <v>0</v>
      </c>
      <c r="J49" s="519">
        <v>0</v>
      </c>
      <c r="K49" s="519">
        <v>0</v>
      </c>
      <c r="L49" s="518" t="s">
        <v>699</v>
      </c>
      <c r="M49" s="519">
        <v>0</v>
      </c>
      <c r="N49" s="518" t="s">
        <v>699</v>
      </c>
      <c r="O49" s="339">
        <v>0</v>
      </c>
    </row>
    <row r="50" spans="1:15">
      <c r="A50" s="518" t="s">
        <v>699</v>
      </c>
      <c r="B50" s="519">
        <v>0</v>
      </c>
      <c r="C50" s="519">
        <v>0</v>
      </c>
      <c r="D50" s="519">
        <v>0</v>
      </c>
      <c r="E50" s="519">
        <v>0</v>
      </c>
      <c r="F50" s="519">
        <v>0</v>
      </c>
      <c r="G50" s="519">
        <v>0</v>
      </c>
      <c r="H50" s="519">
        <v>0</v>
      </c>
      <c r="I50" s="519">
        <v>0</v>
      </c>
      <c r="J50" s="519">
        <v>0</v>
      </c>
      <c r="K50" s="519">
        <v>0</v>
      </c>
      <c r="L50" s="518" t="s">
        <v>699</v>
      </c>
      <c r="M50" s="519">
        <v>0</v>
      </c>
      <c r="N50" s="518" t="s">
        <v>699</v>
      </c>
      <c r="O50" s="339">
        <v>0</v>
      </c>
    </row>
    <row r="51" spans="1:15">
      <c r="A51" s="518" t="s">
        <v>699</v>
      </c>
      <c r="B51" s="519">
        <v>0</v>
      </c>
      <c r="C51" s="519">
        <v>0</v>
      </c>
      <c r="D51" s="519">
        <v>0</v>
      </c>
      <c r="E51" s="519">
        <v>0</v>
      </c>
      <c r="F51" s="519">
        <v>0</v>
      </c>
      <c r="G51" s="519">
        <v>0</v>
      </c>
      <c r="H51" s="519">
        <v>0</v>
      </c>
      <c r="I51" s="519">
        <v>0</v>
      </c>
      <c r="J51" s="519">
        <v>0</v>
      </c>
      <c r="K51" s="519">
        <v>0</v>
      </c>
      <c r="L51" s="518" t="s">
        <v>699</v>
      </c>
      <c r="M51" s="519">
        <v>0</v>
      </c>
      <c r="N51" s="518" t="s">
        <v>699</v>
      </c>
      <c r="O51" s="339">
        <v>0</v>
      </c>
    </row>
    <row r="52" spans="1:15">
      <c r="A52" s="518" t="s">
        <v>699</v>
      </c>
      <c r="B52" s="519">
        <v>0</v>
      </c>
      <c r="C52" s="519">
        <v>0</v>
      </c>
      <c r="D52" s="519">
        <v>0</v>
      </c>
      <c r="E52" s="519">
        <v>0</v>
      </c>
      <c r="F52" s="519">
        <v>0</v>
      </c>
      <c r="G52" s="519">
        <v>0</v>
      </c>
      <c r="H52" s="519">
        <v>0</v>
      </c>
      <c r="I52" s="519">
        <v>0</v>
      </c>
      <c r="J52" s="519">
        <v>0</v>
      </c>
      <c r="K52" s="519">
        <v>0</v>
      </c>
      <c r="L52" s="518" t="s">
        <v>699</v>
      </c>
      <c r="M52" s="519">
        <v>0</v>
      </c>
      <c r="N52" s="518" t="s">
        <v>699</v>
      </c>
      <c r="O52" s="339">
        <v>0</v>
      </c>
    </row>
    <row r="53" spans="1:15">
      <c r="A53" s="2"/>
      <c r="B53" s="2"/>
      <c r="C53" s="2"/>
      <c r="D53" s="2"/>
      <c r="E53" s="2"/>
      <c r="F53" s="2"/>
      <c r="G53" s="2"/>
      <c r="H53" s="2"/>
      <c r="I53" s="2"/>
      <c r="J53" s="2"/>
      <c r="K53" s="2"/>
      <c r="L53" s="2"/>
      <c r="M53" s="2"/>
      <c r="N53" s="2"/>
      <c r="O53" s="340"/>
    </row>
    <row r="54" spans="1:15">
      <c r="A54" s="2"/>
      <c r="B54" s="2"/>
      <c r="C54" s="2"/>
      <c r="D54" s="2"/>
      <c r="E54" s="2"/>
      <c r="F54" s="2"/>
      <c r="G54" s="2"/>
      <c r="H54" s="2"/>
      <c r="I54" s="2"/>
      <c r="J54" s="2"/>
      <c r="K54" s="2"/>
      <c r="L54" s="2"/>
      <c r="M54" s="2"/>
      <c r="N54" s="2"/>
      <c r="O54" s="340"/>
    </row>
    <row r="55" spans="1:15" hidden="1">
      <c r="A55" s="520" t="s">
        <v>33</v>
      </c>
      <c r="B55" s="2"/>
      <c r="C55" s="2"/>
      <c r="D55" s="2"/>
      <c r="E55" s="2"/>
      <c r="F55" s="2"/>
      <c r="G55" s="2"/>
      <c r="H55" s="2"/>
      <c r="I55" s="2"/>
      <c r="J55" s="2"/>
      <c r="K55" s="2"/>
      <c r="L55" s="2"/>
      <c r="M55" s="2"/>
      <c r="N55" s="2"/>
      <c r="O55" s="340"/>
    </row>
    <row r="56" spans="1:15">
      <c r="A56" s="2" t="s">
        <v>13</v>
      </c>
      <c r="B56" s="2"/>
      <c r="C56" s="2"/>
      <c r="D56" s="2"/>
      <c r="E56" s="2"/>
      <c r="F56" s="2"/>
      <c r="G56" s="2"/>
      <c r="H56" s="2"/>
      <c r="I56" s="2"/>
      <c r="J56" s="2"/>
      <c r="K56" s="2"/>
      <c r="L56" s="2"/>
      <c r="M56" s="2">
        <v>1</v>
      </c>
      <c r="N56" s="2" t="s">
        <v>13</v>
      </c>
      <c r="O56" s="340">
        <v>0</v>
      </c>
    </row>
    <row r="57" spans="1:15">
      <c r="A57" s="2" t="s">
        <v>34</v>
      </c>
      <c r="B57" s="2"/>
      <c r="C57" s="2"/>
      <c r="D57" s="2"/>
      <c r="E57" s="2"/>
      <c r="F57" s="2">
        <v>0.03</v>
      </c>
      <c r="G57" s="2">
        <v>0.22</v>
      </c>
      <c r="H57" s="2"/>
      <c r="I57" s="2"/>
      <c r="J57" s="2"/>
      <c r="K57" s="2">
        <v>1</v>
      </c>
      <c r="L57" s="2" t="s">
        <v>19</v>
      </c>
      <c r="M57" s="2">
        <v>2000</v>
      </c>
      <c r="N57" s="2" t="s">
        <v>35</v>
      </c>
      <c r="O57" s="339">
        <v>0</v>
      </c>
    </row>
    <row r="58" spans="1:15">
      <c r="A58" s="2" t="s">
        <v>591</v>
      </c>
      <c r="B58" s="2">
        <v>0.55000000000000004</v>
      </c>
      <c r="C58" s="2">
        <v>0.01</v>
      </c>
      <c r="D58" s="2">
        <v>3.5999999999999999E-3</v>
      </c>
      <c r="E58" s="2"/>
      <c r="F58" s="2"/>
      <c r="G58" s="2">
        <v>29</v>
      </c>
      <c r="H58" s="2"/>
      <c r="I58" s="2"/>
      <c r="J58" s="2"/>
      <c r="K58" s="2">
        <v>1</v>
      </c>
      <c r="L58" s="2" t="s">
        <v>36</v>
      </c>
      <c r="M58" s="2">
        <v>1</v>
      </c>
      <c r="N58" s="2" t="s">
        <v>35</v>
      </c>
      <c r="O58" s="339">
        <v>0</v>
      </c>
    </row>
    <row r="59" spans="1:15">
      <c r="A59" s="2" t="s">
        <v>706</v>
      </c>
      <c r="B59" s="2"/>
      <c r="C59" s="2"/>
      <c r="D59" s="2"/>
      <c r="E59" s="2"/>
      <c r="F59" s="2">
        <v>11</v>
      </c>
      <c r="G59" s="2">
        <v>42</v>
      </c>
      <c r="H59" s="2"/>
      <c r="I59" s="2"/>
      <c r="J59" s="2"/>
      <c r="K59" s="2">
        <v>1</v>
      </c>
      <c r="L59" s="2" t="s">
        <v>36</v>
      </c>
      <c r="M59" s="2">
        <v>1</v>
      </c>
      <c r="N59" s="2" t="s">
        <v>35</v>
      </c>
      <c r="O59" s="339">
        <v>0</v>
      </c>
    </row>
    <row r="60" spans="1:15">
      <c r="A60" s="2" t="s">
        <v>37</v>
      </c>
      <c r="B60" s="2"/>
      <c r="C60" s="2"/>
      <c r="D60" s="2"/>
      <c r="E60" s="2"/>
      <c r="F60" s="2"/>
      <c r="G60" s="2">
        <v>80</v>
      </c>
      <c r="H60" s="2"/>
      <c r="I60" s="2"/>
      <c r="J60" s="2"/>
      <c r="K60" s="2">
        <v>1</v>
      </c>
      <c r="L60" s="2" t="s">
        <v>36</v>
      </c>
      <c r="M60" s="2">
        <v>1</v>
      </c>
      <c r="N60" s="2" t="s">
        <v>35</v>
      </c>
      <c r="O60" s="339">
        <v>0</v>
      </c>
    </row>
    <row r="61" spans="1:15">
      <c r="A61" s="518" t="s">
        <v>699</v>
      </c>
      <c r="B61" s="519">
        <v>0</v>
      </c>
      <c r="C61" s="519">
        <v>0</v>
      </c>
      <c r="D61" s="519">
        <v>0</v>
      </c>
      <c r="E61" s="519">
        <v>0</v>
      </c>
      <c r="F61" s="519">
        <v>0</v>
      </c>
      <c r="G61" s="519">
        <v>0</v>
      </c>
      <c r="H61" s="519">
        <v>0</v>
      </c>
      <c r="I61" s="519">
        <v>0</v>
      </c>
      <c r="J61" s="519">
        <v>0</v>
      </c>
      <c r="K61" s="519">
        <v>0</v>
      </c>
      <c r="L61" s="518" t="s">
        <v>699</v>
      </c>
      <c r="M61" s="519">
        <v>0</v>
      </c>
      <c r="N61" s="518" t="s">
        <v>699</v>
      </c>
      <c r="O61" s="339">
        <v>0</v>
      </c>
    </row>
    <row r="62" spans="1:15">
      <c r="A62" s="518" t="s">
        <v>699</v>
      </c>
      <c r="B62" s="519">
        <v>0</v>
      </c>
      <c r="C62" s="519">
        <v>0</v>
      </c>
      <c r="D62" s="519">
        <v>0</v>
      </c>
      <c r="E62" s="519">
        <v>0</v>
      </c>
      <c r="F62" s="519">
        <v>0</v>
      </c>
      <c r="G62" s="519">
        <v>0</v>
      </c>
      <c r="H62" s="519">
        <v>0</v>
      </c>
      <c r="I62" s="519">
        <v>0</v>
      </c>
      <c r="J62" s="519">
        <v>0</v>
      </c>
      <c r="K62" s="519">
        <v>0</v>
      </c>
      <c r="L62" s="518" t="s">
        <v>699</v>
      </c>
      <c r="M62" s="519">
        <v>0</v>
      </c>
      <c r="N62" s="518" t="s">
        <v>699</v>
      </c>
      <c r="O62" s="339">
        <v>0</v>
      </c>
    </row>
    <row r="63" spans="1:15">
      <c r="A63" s="518" t="s">
        <v>699</v>
      </c>
      <c r="B63" s="519">
        <v>0</v>
      </c>
      <c r="C63" s="519">
        <v>0</v>
      </c>
      <c r="D63" s="519">
        <v>0</v>
      </c>
      <c r="E63" s="519">
        <v>0</v>
      </c>
      <c r="F63" s="519">
        <v>0</v>
      </c>
      <c r="G63" s="519">
        <v>0</v>
      </c>
      <c r="H63" s="519">
        <v>0</v>
      </c>
      <c r="I63" s="519">
        <v>0</v>
      </c>
      <c r="J63" s="519">
        <v>0</v>
      </c>
      <c r="K63" s="519">
        <v>0</v>
      </c>
      <c r="L63" s="518" t="s">
        <v>699</v>
      </c>
      <c r="M63" s="519">
        <v>0</v>
      </c>
      <c r="N63" s="518" t="s">
        <v>699</v>
      </c>
      <c r="O63" s="339">
        <v>0</v>
      </c>
    </row>
    <row r="64" spans="1:15">
      <c r="A64" s="518" t="s">
        <v>699</v>
      </c>
      <c r="B64" s="519">
        <v>0</v>
      </c>
      <c r="C64" s="519">
        <v>0</v>
      </c>
      <c r="D64" s="519">
        <v>0</v>
      </c>
      <c r="E64" s="519">
        <v>0</v>
      </c>
      <c r="F64" s="519">
        <v>0</v>
      </c>
      <c r="G64" s="519">
        <v>0</v>
      </c>
      <c r="H64" s="519">
        <v>0</v>
      </c>
      <c r="I64" s="519">
        <v>0</v>
      </c>
      <c r="J64" s="519">
        <v>0</v>
      </c>
      <c r="K64" s="519">
        <v>0</v>
      </c>
      <c r="L64" s="518" t="s">
        <v>699</v>
      </c>
      <c r="M64" s="519">
        <v>0</v>
      </c>
      <c r="N64" s="518" t="s">
        <v>699</v>
      </c>
      <c r="O64" s="339">
        <v>0</v>
      </c>
    </row>
    <row r="65" spans="1:15">
      <c r="A65" s="2"/>
      <c r="B65" s="2"/>
      <c r="C65" s="2"/>
      <c r="D65" s="2"/>
      <c r="E65" s="2"/>
      <c r="F65" s="2"/>
      <c r="G65" s="2"/>
      <c r="H65" s="2"/>
      <c r="I65" s="2"/>
      <c r="J65" s="2"/>
      <c r="K65" s="2"/>
      <c r="L65" s="2"/>
      <c r="M65" s="2"/>
      <c r="N65" s="2"/>
      <c r="O65" s="340"/>
    </row>
    <row r="66" spans="1:15">
      <c r="A66" s="2"/>
      <c r="B66" s="2"/>
      <c r="C66" s="2"/>
      <c r="D66" s="2"/>
      <c r="E66" s="2"/>
      <c r="F66" s="2"/>
      <c r="G66" s="2"/>
      <c r="H66" s="2"/>
      <c r="I66" s="2"/>
      <c r="J66" s="2"/>
      <c r="K66" s="2"/>
      <c r="L66" s="2"/>
      <c r="M66" s="2"/>
      <c r="N66" s="2"/>
      <c r="O66" s="340"/>
    </row>
    <row r="67" spans="1:15" hidden="1">
      <c r="A67" s="520" t="s">
        <v>38</v>
      </c>
      <c r="B67" s="2"/>
      <c r="C67" s="2"/>
      <c r="D67" s="2"/>
      <c r="E67" s="2"/>
      <c r="F67" s="2"/>
      <c r="G67" s="2"/>
      <c r="H67" s="2"/>
      <c r="I67" s="2"/>
      <c r="J67" s="2"/>
      <c r="K67" s="2"/>
      <c r="L67" s="2"/>
      <c r="M67" s="2"/>
      <c r="N67" s="2"/>
      <c r="O67" s="340"/>
    </row>
    <row r="68" spans="1:15">
      <c r="A68" s="2" t="s">
        <v>13</v>
      </c>
      <c r="B68" s="2"/>
      <c r="C68" s="2"/>
      <c r="D68" s="2"/>
      <c r="E68" s="2"/>
      <c r="F68" s="2"/>
      <c r="G68" s="2"/>
      <c r="H68" s="2"/>
      <c r="I68" s="2"/>
      <c r="J68" s="2"/>
      <c r="K68" s="2"/>
      <c r="L68" s="2"/>
      <c r="M68" s="2">
        <v>1</v>
      </c>
      <c r="N68" s="2" t="s">
        <v>13</v>
      </c>
      <c r="O68" s="340">
        <v>0</v>
      </c>
    </row>
    <row r="69" spans="1:15">
      <c r="A69" s="2" t="s">
        <v>39</v>
      </c>
      <c r="B69" s="2"/>
      <c r="C69" s="2"/>
      <c r="D69" s="2"/>
      <c r="E69" s="2"/>
      <c r="F69" s="2"/>
      <c r="G69" s="2"/>
      <c r="H69" s="2"/>
      <c r="I69" s="2"/>
      <c r="J69" s="2"/>
      <c r="K69" s="2">
        <v>1</v>
      </c>
      <c r="L69" s="2" t="s">
        <v>40</v>
      </c>
      <c r="M69" s="2">
        <v>128</v>
      </c>
      <c r="N69" s="2" t="s">
        <v>25</v>
      </c>
      <c r="O69" s="339">
        <v>0</v>
      </c>
    </row>
    <row r="70" spans="1:15">
      <c r="A70" s="2" t="s">
        <v>45</v>
      </c>
      <c r="B70" s="2"/>
      <c r="C70" s="2"/>
      <c r="D70" s="2"/>
      <c r="E70" s="2"/>
      <c r="F70" s="2"/>
      <c r="G70" s="2"/>
      <c r="H70" s="2"/>
      <c r="I70" s="2"/>
      <c r="J70" s="2"/>
      <c r="K70" s="2">
        <v>1</v>
      </c>
      <c r="L70" s="2" t="s">
        <v>40</v>
      </c>
      <c r="M70" s="2">
        <v>128</v>
      </c>
      <c r="N70" s="2" t="s">
        <v>25</v>
      </c>
      <c r="O70" s="339">
        <v>0</v>
      </c>
    </row>
    <row r="71" spans="1:15">
      <c r="A71" s="2" t="s">
        <v>41</v>
      </c>
      <c r="B71" s="2"/>
      <c r="C71" s="2"/>
      <c r="D71" s="2"/>
      <c r="E71" s="2"/>
      <c r="F71" s="2"/>
      <c r="G71" s="2"/>
      <c r="H71" s="2"/>
      <c r="I71" s="2"/>
      <c r="J71" s="2"/>
      <c r="K71" s="2">
        <v>1</v>
      </c>
      <c r="L71" s="2" t="s">
        <v>42</v>
      </c>
      <c r="M71" s="2">
        <v>4</v>
      </c>
      <c r="N71" s="2" t="s">
        <v>25</v>
      </c>
      <c r="O71" s="339">
        <v>0</v>
      </c>
    </row>
    <row r="72" spans="1:15">
      <c r="A72" s="2" t="s">
        <v>43</v>
      </c>
      <c r="B72" s="2"/>
      <c r="C72" s="2"/>
      <c r="D72" s="2"/>
      <c r="E72" s="2"/>
      <c r="F72" s="2"/>
      <c r="G72" s="2"/>
      <c r="H72" s="2"/>
      <c r="I72" s="2"/>
      <c r="J72" s="2"/>
      <c r="K72" s="2">
        <v>1</v>
      </c>
      <c r="L72" s="2" t="s">
        <v>42</v>
      </c>
      <c r="M72" s="2">
        <v>4</v>
      </c>
      <c r="N72" s="2" t="s">
        <v>25</v>
      </c>
      <c r="O72" s="339">
        <v>0</v>
      </c>
    </row>
    <row r="73" spans="1:15">
      <c r="A73" s="2" t="s">
        <v>44</v>
      </c>
      <c r="B73" s="2"/>
      <c r="C73" s="2"/>
      <c r="D73" s="2"/>
      <c r="E73" s="2"/>
      <c r="F73" s="2"/>
      <c r="G73" s="2"/>
      <c r="H73" s="2"/>
      <c r="I73" s="2"/>
      <c r="J73" s="2"/>
      <c r="K73" s="2">
        <v>1</v>
      </c>
      <c r="L73" s="2" t="s">
        <v>42</v>
      </c>
      <c r="M73" s="2">
        <v>4</v>
      </c>
      <c r="N73" s="2" t="s">
        <v>25</v>
      </c>
      <c r="O73" s="339"/>
    </row>
    <row r="74" spans="1:15">
      <c r="A74" s="518" t="s">
        <v>699</v>
      </c>
      <c r="B74" s="2"/>
      <c r="C74" s="2"/>
      <c r="D74" s="2"/>
      <c r="E74" s="2"/>
      <c r="F74" s="2"/>
      <c r="G74" s="2"/>
      <c r="H74" s="2"/>
      <c r="I74" s="2"/>
      <c r="J74" s="2"/>
      <c r="K74" s="519">
        <v>0</v>
      </c>
      <c r="L74" s="518" t="s">
        <v>699</v>
      </c>
      <c r="M74" s="519">
        <v>0</v>
      </c>
      <c r="N74" s="518" t="s">
        <v>699</v>
      </c>
      <c r="O74" s="339">
        <v>0</v>
      </c>
    </row>
    <row r="75" spans="1:15">
      <c r="A75" s="518" t="s">
        <v>699</v>
      </c>
      <c r="B75" s="2"/>
      <c r="C75" s="2"/>
      <c r="D75" s="2"/>
      <c r="E75" s="2"/>
      <c r="F75" s="2"/>
      <c r="G75" s="2"/>
      <c r="H75" s="2"/>
      <c r="I75" s="2"/>
      <c r="J75" s="2"/>
      <c r="K75" s="519">
        <v>0</v>
      </c>
      <c r="L75" s="518" t="s">
        <v>699</v>
      </c>
      <c r="M75" s="519">
        <v>0</v>
      </c>
      <c r="N75" s="518" t="s">
        <v>699</v>
      </c>
      <c r="O75" s="339">
        <v>0</v>
      </c>
    </row>
    <row r="76" spans="1:15">
      <c r="A76" s="518" t="s">
        <v>699</v>
      </c>
      <c r="B76" s="2"/>
      <c r="C76" s="2"/>
      <c r="D76" s="2"/>
      <c r="E76" s="2"/>
      <c r="F76" s="2"/>
      <c r="G76" s="2"/>
      <c r="H76" s="2"/>
      <c r="I76" s="2"/>
      <c r="J76" s="2"/>
      <c r="K76" s="519">
        <v>0</v>
      </c>
      <c r="L76" s="518" t="s">
        <v>699</v>
      </c>
      <c r="M76" s="519">
        <v>0</v>
      </c>
      <c r="N76" s="518" t="s">
        <v>699</v>
      </c>
      <c r="O76" s="339">
        <v>0</v>
      </c>
    </row>
    <row r="77" spans="1:15">
      <c r="A77" s="518" t="s">
        <v>699</v>
      </c>
      <c r="B77" s="2"/>
      <c r="C77" s="2"/>
      <c r="D77" s="2"/>
      <c r="E77" s="2"/>
      <c r="F77" s="2"/>
      <c r="G77" s="2"/>
      <c r="H77" s="2"/>
      <c r="I77" s="2"/>
      <c r="J77" s="2"/>
      <c r="K77" s="519">
        <v>0</v>
      </c>
      <c r="L77" s="518" t="s">
        <v>699</v>
      </c>
      <c r="M77" s="519">
        <v>0</v>
      </c>
      <c r="N77" s="518" t="s">
        <v>699</v>
      </c>
      <c r="O77" s="339">
        <v>0</v>
      </c>
    </row>
  </sheetData>
  <sheetProtection algorithmName="SHA-512" hashValue="utpazQqTLp+ZCLcBH8lqbJzW4HAuiGcJ4Ppf9c8tRCxNAUVxg9/5OtMAeHnwFZkrtXHok4rH3XDGpjBub2ud8g==" saltValue="3dQPnOYx82BUAnF/hWrruQ==" spinCount="100000" sheet="1" objects="1" scenarios="1"/>
  <sortState xmlns:xlrd2="http://schemas.microsoft.com/office/spreadsheetml/2017/richdata2" ref="A21:O35">
    <sortCondition ref="A21:A35"/>
  </sortState>
  <mergeCells count="5">
    <mergeCell ref="B2:I2"/>
    <mergeCell ref="R7:Y7"/>
    <mergeCell ref="R24:V25"/>
    <mergeCell ref="R27:V27"/>
    <mergeCell ref="R39:V40"/>
  </mergeCells>
  <hyperlinks>
    <hyperlink ref="R7" r:id="rId1" xr:uid="{00000000-0004-0000-0600-000000000000}"/>
    <hyperlink ref="R21" r:id="rId2" xr:uid="{856DD3CC-7786-49B7-A35B-D2868100C52B}"/>
    <hyperlink ref="R20" r:id="rId3" xr:uid="{FCBA1AF9-2B7F-4B3B-B846-91E94613B22E}"/>
  </hyperlinks>
  <pageMargins left="0.7" right="0.7" top="0.75" bottom="0.75" header="0.3" footer="0.3"/>
  <pageSetup scale="94" orientation="landscape" verticalDpi="0" r:id="rId4"/>
  <extLst>
    <ext xmlns:x14="http://schemas.microsoft.com/office/spreadsheetml/2009/9/main" uri="{CCE6A557-97BC-4b89-ADB6-D9C93CAAB3DF}">
      <x14:dataValidations xmlns:xm="http://schemas.microsoft.com/office/excel/2006/main" count="1">
        <x14:dataValidation type="list" allowBlank="1" showInputMessage="1" showErrorMessage="1" xr:uid="{5C855762-9683-4F19-B652-3D9F3C8D28AB}">
          <x14:formula1>
            <xm:f>'Manure and Nutrient Credits'!$A$37:$A$41</xm:f>
          </x14:formula1>
          <xm:sqref>V30 V35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AI82"/>
  <sheetViews>
    <sheetView zoomScale="80" zoomScaleNormal="80" zoomScalePageLayoutView="70" workbookViewId="0">
      <pane ySplit="1" topLeftCell="A2" activePane="bottomLeft" state="frozen"/>
      <selection pane="bottomLeft" activeCell="M76" sqref="M76"/>
    </sheetView>
  </sheetViews>
  <sheetFormatPr defaultColWidth="9.140625" defaultRowHeight="15"/>
  <cols>
    <col min="1" max="1" width="37" style="6" bestFit="1" customWidth="1"/>
    <col min="2" max="2" width="15.5703125" style="6" hidden="1" customWidth="1"/>
    <col min="3" max="3" width="15.5703125" style="6" bestFit="1" customWidth="1"/>
    <col min="4" max="4" width="12" style="6" hidden="1" customWidth="1"/>
    <col min="5" max="5" width="13.7109375" style="6" bestFit="1" customWidth="1"/>
    <col min="6" max="6" width="6" style="6" bestFit="1" customWidth="1"/>
    <col min="7" max="7" width="10.7109375" style="6" bestFit="1" customWidth="1"/>
    <col min="8" max="12" width="9.140625" style="6"/>
    <col min="13" max="13" width="37" style="6" bestFit="1" customWidth="1"/>
    <col min="14" max="14" width="15.5703125" style="6" hidden="1" customWidth="1"/>
    <col min="15" max="15" width="15.5703125" style="6" bestFit="1" customWidth="1"/>
    <col min="16" max="16" width="13.7109375" style="6" hidden="1" customWidth="1"/>
    <col min="17" max="17" width="13.7109375" style="6" bestFit="1" customWidth="1"/>
    <col min="18" max="18" width="6" style="6" bestFit="1" customWidth="1"/>
    <col min="19" max="19" width="9.42578125" style="6" bestFit="1" customWidth="1"/>
    <col min="20" max="20" width="8.85546875" style="6"/>
    <col min="21" max="24" width="9.140625" style="6" customWidth="1"/>
    <col min="25" max="25" width="37" style="6" bestFit="1" customWidth="1"/>
    <col min="26" max="26" width="15.5703125" style="6" hidden="1" customWidth="1"/>
    <col min="27" max="27" width="15.5703125" style="6" bestFit="1" customWidth="1"/>
    <col min="28" max="28" width="13.7109375" style="6" hidden="1" customWidth="1"/>
    <col min="29" max="29" width="13.7109375" style="6" bestFit="1" customWidth="1"/>
    <col min="30" max="30" width="6" style="6" bestFit="1" customWidth="1"/>
    <col min="31" max="31" width="9.42578125" style="6" bestFit="1" customWidth="1"/>
    <col min="32" max="35" width="8.85546875" style="6"/>
    <col min="36" max="36" width="43.42578125" style="6" bestFit="1" customWidth="1"/>
    <col min="37" max="37" width="13" style="6" customWidth="1"/>
    <col min="38" max="38" width="7.28515625" style="6" customWidth="1"/>
    <col min="39" max="39" width="12.28515625" style="6" customWidth="1"/>
    <col min="40" max="40" width="9.140625" style="6"/>
    <col min="41" max="43" width="9.140625" style="6" customWidth="1"/>
    <col min="44" max="16384" width="9.140625" style="6"/>
  </cols>
  <sheetData>
    <row r="1" spans="1:35" s="56" customFormat="1" ht="33.75">
      <c r="A1" s="682" t="s">
        <v>558</v>
      </c>
      <c r="B1" s="683"/>
      <c r="C1" s="683"/>
      <c r="D1" s="683"/>
      <c r="E1" s="683"/>
      <c r="F1" s="683"/>
      <c r="G1" s="683"/>
      <c r="H1" s="683"/>
      <c r="I1" s="683"/>
      <c r="J1" s="683"/>
      <c r="K1" s="684"/>
      <c r="L1" s="115"/>
      <c r="M1" s="682" t="s">
        <v>650</v>
      </c>
      <c r="N1" s="683"/>
      <c r="O1" s="683"/>
      <c r="P1" s="683"/>
      <c r="Q1" s="683"/>
      <c r="R1" s="683"/>
      <c r="S1" s="683"/>
      <c r="T1" s="683"/>
      <c r="U1" s="683"/>
      <c r="V1" s="683"/>
      <c r="W1" s="684"/>
      <c r="X1" s="114"/>
      <c r="Y1" s="682" t="s">
        <v>594</v>
      </c>
      <c r="Z1" s="683"/>
      <c r="AA1" s="683"/>
      <c r="AB1" s="683"/>
      <c r="AC1" s="683"/>
      <c r="AD1" s="683"/>
      <c r="AE1" s="683"/>
      <c r="AF1" s="683"/>
      <c r="AG1" s="683"/>
      <c r="AH1" s="683"/>
      <c r="AI1" s="684"/>
    </row>
    <row r="2" spans="1:35" ht="16.5" thickBot="1">
      <c r="A2" s="33"/>
      <c r="B2" s="34"/>
      <c r="C2" s="35"/>
      <c r="D2" s="36"/>
      <c r="E2" s="36"/>
      <c r="F2" s="34"/>
      <c r="G2" s="36"/>
      <c r="H2" s="2"/>
      <c r="I2" s="2"/>
      <c r="J2" s="2"/>
      <c r="K2" s="55"/>
      <c r="L2" s="2"/>
      <c r="M2" s="33"/>
      <c r="N2" s="34"/>
      <c r="O2" s="35"/>
      <c r="P2" s="36"/>
      <c r="Q2" s="36"/>
      <c r="R2" s="34"/>
      <c r="S2" s="36"/>
      <c r="T2" s="2"/>
      <c r="U2" s="2"/>
      <c r="V2" s="2"/>
      <c r="W2" s="55"/>
      <c r="X2"/>
      <c r="Y2" s="33"/>
      <c r="Z2" s="34"/>
      <c r="AA2" s="35"/>
      <c r="AB2" s="36"/>
      <c r="AC2" s="36"/>
      <c r="AD2" s="34"/>
      <c r="AE2" s="36"/>
      <c r="AF2"/>
      <c r="AG2"/>
      <c r="AH2"/>
      <c r="AI2" s="8"/>
    </row>
    <row r="3" spans="1:35" ht="16.5" customHeight="1" thickBot="1">
      <c r="A3" s="830" t="s">
        <v>690</v>
      </c>
      <c r="B3" s="831"/>
      <c r="C3" s="831"/>
      <c r="D3" s="831"/>
      <c r="E3" s="831"/>
      <c r="F3" s="831"/>
      <c r="G3" s="831"/>
      <c r="H3" s="831"/>
      <c r="I3" s="831"/>
      <c r="J3" s="831"/>
      <c r="K3" s="832"/>
      <c r="L3" s="2"/>
      <c r="M3" s="830" t="s">
        <v>690</v>
      </c>
      <c r="N3" s="831"/>
      <c r="O3" s="831"/>
      <c r="P3" s="831"/>
      <c r="Q3" s="831"/>
      <c r="R3" s="831"/>
      <c r="S3" s="831"/>
      <c r="T3" s="831"/>
      <c r="U3" s="831"/>
      <c r="V3" s="831"/>
      <c r="W3" s="832"/>
      <c r="X3" s="10"/>
      <c r="Y3" s="830" t="s">
        <v>690</v>
      </c>
      <c r="Z3" s="831"/>
      <c r="AA3" s="831"/>
      <c r="AB3" s="831"/>
      <c r="AC3" s="831"/>
      <c r="AD3" s="831"/>
      <c r="AE3" s="831"/>
      <c r="AF3" s="831"/>
      <c r="AG3" s="831"/>
      <c r="AH3" s="831"/>
      <c r="AI3" s="832"/>
    </row>
    <row r="4" spans="1:35" ht="31.5">
      <c r="A4" s="33" t="s">
        <v>138</v>
      </c>
      <c r="B4" s="34" t="s">
        <v>122</v>
      </c>
      <c r="C4" s="35" t="s">
        <v>123</v>
      </c>
      <c r="D4" s="36" t="s">
        <v>12</v>
      </c>
      <c r="E4" s="36" t="s">
        <v>124</v>
      </c>
      <c r="F4" s="34" t="s">
        <v>11</v>
      </c>
      <c r="G4" s="36" t="s">
        <v>125</v>
      </c>
      <c r="H4" s="2"/>
      <c r="I4" s="2"/>
      <c r="J4" s="2"/>
      <c r="K4" s="55"/>
      <c r="L4" s="2"/>
      <c r="M4" s="33" t="s">
        <v>138</v>
      </c>
      <c r="N4" s="34" t="s">
        <v>122</v>
      </c>
      <c r="O4" s="35" t="s">
        <v>123</v>
      </c>
      <c r="P4" s="36" t="s">
        <v>12</v>
      </c>
      <c r="Q4" s="36" t="s">
        <v>124</v>
      </c>
      <c r="R4" s="34" t="s">
        <v>11</v>
      </c>
      <c r="S4" s="36" t="s">
        <v>125</v>
      </c>
      <c r="T4" s="2"/>
      <c r="U4" s="2"/>
      <c r="V4" s="2"/>
      <c r="W4" s="55"/>
      <c r="X4"/>
      <c r="Y4" s="33" t="s">
        <v>138</v>
      </c>
      <c r="Z4" s="34" t="s">
        <v>122</v>
      </c>
      <c r="AA4" s="35" t="s">
        <v>123</v>
      </c>
      <c r="AB4" s="36" t="s">
        <v>12</v>
      </c>
      <c r="AC4" s="36" t="s">
        <v>124</v>
      </c>
      <c r="AD4" s="34" t="s">
        <v>11</v>
      </c>
      <c r="AE4" s="36" t="s">
        <v>125</v>
      </c>
      <c r="AF4" s="2"/>
      <c r="AG4" s="2"/>
      <c r="AH4" s="2"/>
      <c r="AI4" s="55"/>
    </row>
    <row r="5" spans="1:35" ht="15.75">
      <c r="A5" s="93" t="s">
        <v>348</v>
      </c>
      <c r="B5" s="54"/>
      <c r="C5" s="96"/>
      <c r="D5" s="42"/>
      <c r="E5" s="51" t="s">
        <v>143</v>
      </c>
      <c r="F5" s="47"/>
      <c r="G5" s="44"/>
      <c r="H5" s="2"/>
      <c r="I5" s="657" t="s">
        <v>112</v>
      </c>
      <c r="J5" s="657" t="s">
        <v>113</v>
      </c>
      <c r="K5" s="658" t="s">
        <v>114</v>
      </c>
      <c r="L5" s="2"/>
      <c r="M5" s="93" t="s">
        <v>348</v>
      </c>
      <c r="N5" s="54"/>
      <c r="O5" s="96"/>
      <c r="P5" s="96" t="s">
        <v>143</v>
      </c>
      <c r="Q5" s="95" t="s">
        <v>143</v>
      </c>
      <c r="R5" s="47"/>
      <c r="S5" s="44"/>
      <c r="T5" s="2"/>
      <c r="U5" s="657" t="s">
        <v>112</v>
      </c>
      <c r="V5" s="657" t="s">
        <v>113</v>
      </c>
      <c r="W5" s="658" t="s">
        <v>114</v>
      </c>
      <c r="X5" s="60"/>
      <c r="Y5" s="93" t="s">
        <v>348</v>
      </c>
      <c r="Z5" s="54"/>
      <c r="AA5" s="96"/>
      <c r="AB5" s="96" t="s">
        <v>143</v>
      </c>
      <c r="AC5" s="95" t="s">
        <v>143</v>
      </c>
      <c r="AD5" s="47"/>
      <c r="AE5" s="44"/>
      <c r="AF5" s="2"/>
      <c r="AG5" s="657" t="s">
        <v>112</v>
      </c>
      <c r="AH5" s="657" t="s">
        <v>113</v>
      </c>
      <c r="AI5" s="658" t="s">
        <v>114</v>
      </c>
    </row>
    <row r="6" spans="1:35" ht="15.75">
      <c r="A6" s="337" t="s">
        <v>13</v>
      </c>
      <c r="B6" s="18" t="str">
        <f>VLOOKUP(A6,'Fertilizer Products &amp; Pricing'!$A$4:$O$35,14,FALSE)</f>
        <v>None</v>
      </c>
      <c r="C6" s="119">
        <f>VLOOKUP(A6,'Fertilizer Products &amp; Pricing'!$A$4:$O$35,15,FALSE)</f>
        <v>0</v>
      </c>
      <c r="D6" s="120">
        <f>VLOOKUP(A6,'Fertilizer Products &amp; Pricing'!$A$4:$O$35,13,FALSE)</f>
        <v>1</v>
      </c>
      <c r="E6" s="303">
        <v>0</v>
      </c>
      <c r="F6" s="122">
        <f>VLOOKUP(A6,'Fertilizer Products &amp; Pricing'!$A$4:$O$35,12,FALSE)</f>
        <v>0</v>
      </c>
      <c r="G6" s="122">
        <f>(E6*VLOOKUP(A6,'Fertilizer Products &amp; Pricing'!$A$4:$O$35,11,FALSE)/D6)*C6</f>
        <v>0</v>
      </c>
      <c r="H6" s="2"/>
      <c r="I6" s="61">
        <f>VLOOKUP($A6,'Fertilizer Products &amp; Pricing'!$A$4:$O$35,2,FALSE)*E6+VLOOKUP($A7,'Fertilizer Products &amp; Pricing'!$A$4:$O$35,2,FALSE)*E7+VLOOKUP($A8,'Fertilizer Products &amp; Pricing'!$A$4:$O$35,2,FALSE)*E8+VLOOKUP($A9,'Fertilizer Products &amp; Pricing'!$A$4:$O$35,2,FALSE)*E9+VLOOKUP($A10,'Fertilizer Products &amp; Pricing'!$A$4:$O$35,2,FALSE)*E10+VLOOKUP($A11,'Fertilizer Products &amp; Pricing'!$A$4:$O$35,2,FALSE)*E11+VLOOKUP($A14,'Fertilizer Products &amp; Pricing'!$A$39:$O$52,2,FALSE)*E14+VLOOKUP(A15,'Fertilizer Products &amp; Pricing'!$A$39:$O$52,2,FALSE)*E15+VLOOKUP($A16,'Fertilizer Products &amp; Pricing'!$A$39:$O$52,2,FALSE)*E16+VLOOKUP($A17,'Fertilizer Products &amp; Pricing'!$A$39:$O$52,2,FALSE)*E17+VLOOKUP($A20,'Fertilizer Products &amp; Pricing'!$A$56:$O$64,2,FALSE)*E20</f>
        <v>0</v>
      </c>
      <c r="J6" s="61">
        <f>VLOOKUP($A6,'Fertilizer Products &amp; Pricing'!$A$4:$O$35,3,FALSE)*E6+VLOOKUP($A7,'Fertilizer Products &amp; Pricing'!$A$4:$O$35,3,FALSE)*E7+VLOOKUP($A8,'Fertilizer Products &amp; Pricing'!$A$4:$O$35,3,FALSE)*E8+VLOOKUP($A9,'Fertilizer Products &amp; Pricing'!$A$4:$O$35,3,FALSE)*E9+VLOOKUP($A10,'Fertilizer Products &amp; Pricing'!$A$4:$O$35,3,FALSE)*E10+VLOOKUP($A11,'Fertilizer Products &amp; Pricing'!$A$4:$O$35,3,FALSE)*E11+VLOOKUP($A14,'Fertilizer Products &amp; Pricing'!$A$39:$O$52,3,FALSE)*E14+VLOOKUP(A15,'Fertilizer Products &amp; Pricing'!$A$39:$O$52,3,FALSE)*E15+VLOOKUP($A16,'Fertilizer Products &amp; Pricing'!$A$39:$O$52,3,FALSE)*E16+VLOOKUP($A17,'Fertilizer Products &amp; Pricing'!$A$39:$O$52,3,FALSE)*E17+VLOOKUP($A20,'Fertilizer Products &amp; Pricing'!$A$56:$O$64,2,FALSE)*E20</f>
        <v>0</v>
      </c>
      <c r="K6" s="62">
        <f>VLOOKUP($A6,'Fertilizer Products &amp; Pricing'!$A$4:$O$35,4,FALSE)*E6+VLOOKUP($A7,'Fertilizer Products &amp; Pricing'!$A$4:$O$35,4,FALSE)*E7+VLOOKUP($A8,'Fertilizer Products &amp; Pricing'!$A$4:$O$35,4,FALSE)*E8+VLOOKUP($A9,'Fertilizer Products &amp; Pricing'!$A$4:$O$35,4,FALSE)*E9+VLOOKUP($A10,'Fertilizer Products &amp; Pricing'!$A$4:$O$35,4,FALSE)*E10+VLOOKUP($A11,'Fertilizer Products &amp; Pricing'!$A$4:$O$35,4,FALSE)*E11+VLOOKUP($A14,'Fertilizer Products &amp; Pricing'!$A$39:$O$52,4,FALSE)*E14+VLOOKUP($A15,'Fertilizer Products &amp; Pricing'!$A$39:$O$52,4,FALSE)*E15+VLOOKUP($A16,'Fertilizer Products &amp; Pricing'!$A$39:$O$52,4,FALSE)*E16+VLOOKUP($A17,'Fertilizer Products &amp; Pricing'!$A$39:$O$52,4,FALSE)*E17+VLOOKUP($A20,'Fertilizer Products &amp; Pricing'!$A$56:$O$64,2,FALSE)*E20</f>
        <v>0</v>
      </c>
      <c r="L6" s="22"/>
      <c r="M6" s="337" t="s">
        <v>13</v>
      </c>
      <c r="N6" s="18" t="str">
        <f>VLOOKUP(M6,'Fertilizer Products &amp; Pricing'!$A$4:$O$35,14,FALSE)</f>
        <v>None</v>
      </c>
      <c r="O6" s="119">
        <f>VLOOKUP(M6,'Fertilizer Products &amp; Pricing'!$A$4:$O$35,15,FALSE)</f>
        <v>0</v>
      </c>
      <c r="P6" s="120">
        <f>VLOOKUP(M6,'Fertilizer Products &amp; Pricing'!$A$4:$O$35,13,FALSE)</f>
        <v>1</v>
      </c>
      <c r="Q6" s="303">
        <v>0</v>
      </c>
      <c r="R6" s="122">
        <f>VLOOKUP(M6,'Fertilizer Products &amp; Pricing'!$A$4:$O$35,12,FALSE)</f>
        <v>0</v>
      </c>
      <c r="S6" s="122">
        <f>(Q6*VLOOKUP(M6,'Fertilizer Products &amp; Pricing'!$A$4:$O$35,11,FALSE)/P6)*O6</f>
        <v>0</v>
      </c>
      <c r="T6" s="2"/>
      <c r="U6" s="61">
        <f>VLOOKUP(M6,'Fertilizer Products &amp; Pricing'!$A$4:$O$35,2,FALSE)*Q6+VLOOKUP(M7,'Fertilizer Products &amp; Pricing'!$A$4:$O$35,2,FALSE)*Q7+VLOOKUP(M8,'Fertilizer Products &amp; Pricing'!$A$4:$O$35,2,FALSE)*Q8+VLOOKUP(M9,'Fertilizer Products &amp; Pricing'!$A$4:$O$35,2,FALSE)*Q9+VLOOKUP(M10,'Fertilizer Products &amp; Pricing'!$A$4:$O$35,2,FALSE)*Q10+VLOOKUP(M11,'Fertilizer Products &amp; Pricing'!$A$4:$O$35,2,FALSE)*Q11+VLOOKUP(M14,'Fertilizer Products &amp; Pricing'!$A$39:$O$52,2,FALSE)*Q14+VLOOKUP(M15,'Fertilizer Products &amp; Pricing'!$A$39:$O$52,2,FALSE)*Q15+VLOOKUP(M16,'Fertilizer Products &amp; Pricing'!$A$39:$O$52,2,FALSE)*Q16+VLOOKUP(M17,'Fertilizer Products &amp; Pricing'!$A$39:$O$52,2,FALSE)*Q17+VLOOKUP($M20,'Fertilizer Products &amp; Pricing'!$A$56:$O$64,2,FALSE)*Q20</f>
        <v>0</v>
      </c>
      <c r="V6" s="61">
        <f>VLOOKUP(M6,'Fertilizer Products &amp; Pricing'!$A$4:$O$35,3,FALSE)*Q6+VLOOKUP(M7,'Fertilizer Products &amp; Pricing'!$A$4:$O$35,3,FALSE)*Q7+VLOOKUP(M8,'Fertilizer Products &amp; Pricing'!$A$4:$O$35,3,FALSE)*Q8+VLOOKUP(M9,'Fertilizer Products &amp; Pricing'!$A$4:$O$35,3,FALSE)*Q9+VLOOKUP(M10,'Fertilizer Products &amp; Pricing'!$A$4:$O$35,3,FALSE)*Q10+VLOOKUP(M11,'Fertilizer Products &amp; Pricing'!$A$4:$O$35,3,FALSE)*Q11+VLOOKUP(M14,'Fertilizer Products &amp; Pricing'!$A$39:$O$52,3,FALSE)*Q14+VLOOKUP(M15,'Fertilizer Products &amp; Pricing'!$A$39:$O$52,3,FALSE)*Q15+VLOOKUP(M16,'Fertilizer Products &amp; Pricing'!$A$39:$O$52,3,FALSE)*Q16+VLOOKUP(M17,'Fertilizer Products &amp; Pricing'!$A$39:$O$52,3,FALSE)*Q17+VLOOKUP($M20,'Fertilizer Products &amp; Pricing'!$A$56:$O$64,2,FALSE)*Q20</f>
        <v>0</v>
      </c>
      <c r="W6" s="62">
        <f>VLOOKUP(M6,'Fertilizer Products &amp; Pricing'!$A$4:$O$35,4,FALSE)*Q6+VLOOKUP(M7,'Fertilizer Products &amp; Pricing'!$A$4:$O$35,4,FALSE)*Q7+VLOOKUP(M8,'Fertilizer Products &amp; Pricing'!$A$4:$O$35,4,FALSE)*Q8+VLOOKUP(M9,'Fertilizer Products &amp; Pricing'!$A$4:$O$35,4,FALSE)*Q9+VLOOKUP(M10,'Fertilizer Products &amp; Pricing'!$A$4:$O$35,4,FALSE)*Q10+VLOOKUP(M11,'Fertilizer Products &amp; Pricing'!$A$4:$O$35,4,FALSE)*Q11+VLOOKUP(M14,'Fertilizer Products &amp; Pricing'!$A$39:$O$52,4,FALSE)*Q14+VLOOKUP(M15,'Fertilizer Products &amp; Pricing'!$A$39:$O$52,4,FALSE)*Q15+VLOOKUP(M16,'Fertilizer Products &amp; Pricing'!$A$39:$O$52,4,FALSE)*Q16+VLOOKUP(M17,'Fertilizer Products &amp; Pricing'!$A$39:$O$52,4,FALSE)*Q17+VLOOKUP($M20,'Fertilizer Products &amp; Pricing'!$A$56:$O$64,2,FALSE)*Q20</f>
        <v>0</v>
      </c>
      <c r="X6" s="21"/>
      <c r="Y6" s="337" t="s">
        <v>13</v>
      </c>
      <c r="Z6" s="18" t="str">
        <f>VLOOKUP(Y6,'Fertilizer Products &amp; Pricing'!$A$4:$O$35,14,FALSE)</f>
        <v>None</v>
      </c>
      <c r="AA6" s="119">
        <f>VLOOKUP(Y6,'Fertilizer Products &amp; Pricing'!$A$4:$O$35,15,FALSE)</f>
        <v>0</v>
      </c>
      <c r="AB6" s="120">
        <f>VLOOKUP(Y6,'Fertilizer Products &amp; Pricing'!$A$4:$O$35,13,FALSE)</f>
        <v>1</v>
      </c>
      <c r="AC6" s="303">
        <v>0</v>
      </c>
      <c r="AD6" s="122">
        <f>VLOOKUP(Y6,'Fertilizer Products &amp; Pricing'!$A$4:$O$35,12,FALSE)</f>
        <v>0</v>
      </c>
      <c r="AE6" s="122">
        <f>(AC6*VLOOKUP(Y6,'Fertilizer Products &amp; Pricing'!$A$4:$O$35,11,FALSE)/AB6)*AA6</f>
        <v>0</v>
      </c>
      <c r="AF6" s="2"/>
      <c r="AG6" s="61">
        <f>VLOOKUP(Y6,'Fertilizer Products &amp; Pricing'!$A$4:$O$35,2,FALSE)*AC6+VLOOKUP(Y7,'Fertilizer Products &amp; Pricing'!$A$4:$O$35,2,FALSE)*AC7+VLOOKUP(Y8,'Fertilizer Products &amp; Pricing'!$A$4:$O$35,2,FALSE)*AC8+VLOOKUP(Y9,'Fertilizer Products &amp; Pricing'!$A$4:$O$35,2,FALSE)*AC9+VLOOKUP(Y10,'Fertilizer Products &amp; Pricing'!$A$4:$O$35,2,FALSE)*AC10+VLOOKUP(Y11,'Fertilizer Products &amp; Pricing'!$A$4:$O$35,2,FALSE)*AC11+VLOOKUP(Y14,'Fertilizer Products &amp; Pricing'!$A$39:$O$52,2,FALSE)*AC14+VLOOKUP(Y15,'Fertilizer Products &amp; Pricing'!$A$39:$O$52,2,FALSE)*AC15+VLOOKUP(Y16,'Fertilizer Products &amp; Pricing'!$A$39:$O$52,2,FALSE)*AC16+VLOOKUP(Y17,'Fertilizer Products &amp; Pricing'!$A$39:$O$52,2,FALSE)*AC17+VLOOKUP($Y20,'Fertilizer Products &amp; Pricing'!$A$56:$O$64,2,FALSE)*AC20</f>
        <v>0</v>
      </c>
      <c r="AH6" s="61">
        <f>VLOOKUP(Y6,'Fertilizer Products &amp; Pricing'!$A$4:$O$35,3,FALSE)*AC6+VLOOKUP(Y7,'Fertilizer Products &amp; Pricing'!$A$4:$O$35,3,FALSE)*AC7+VLOOKUP(Y8,'Fertilizer Products &amp; Pricing'!$A$4:$O$35,3,FALSE)*AC8+VLOOKUP(Y9,'Fertilizer Products &amp; Pricing'!$A$4:$O$35,3,FALSE)*AC9+VLOOKUP(Y10,'Fertilizer Products &amp; Pricing'!$A$4:$O$35,3,FALSE)*AC10+VLOOKUP(Y11,'Fertilizer Products &amp; Pricing'!$A$4:$O$35,3,FALSE)*AC11+VLOOKUP(Y14,'Fertilizer Products &amp; Pricing'!$A$39:$O$52,3,FALSE)*AC14+VLOOKUP(Y15,'Fertilizer Products &amp; Pricing'!$A$39:$O$52,3,FALSE)*AC15+VLOOKUP(Y16,'Fertilizer Products &amp; Pricing'!$A$39:$O$52,3,FALSE)*AC16+VLOOKUP(Y17,'Fertilizer Products &amp; Pricing'!$A$39:$O$52,3,FALSE)*AC17+VLOOKUP($Y20,'Fertilizer Products &amp; Pricing'!$A$56:$O$64,2,FALSE)*AC20</f>
        <v>0</v>
      </c>
      <c r="AI6" s="62">
        <f>VLOOKUP(Y6,'Fertilizer Products &amp; Pricing'!$A$4:$O$35,4,FALSE)*AC6+VLOOKUP(Y7,'Fertilizer Products &amp; Pricing'!$A$4:$O$35,4,FALSE)*AC7+VLOOKUP(Y8,'Fertilizer Products &amp; Pricing'!$A$4:$O$35,4,FALSE)*AC8+VLOOKUP(Y9,'Fertilizer Products &amp; Pricing'!$A$4:$O$35,4,FALSE)*AC9+VLOOKUP(Y10,'Fertilizer Products &amp; Pricing'!$A$4:$O$35,4,FALSE)*AC10+VLOOKUP(Y11,'Fertilizer Products &amp; Pricing'!$A$4:$O$35,4,FALSE)*AC11+VLOOKUP(Y14,'Fertilizer Products &amp; Pricing'!$A$39:$O$52,4,FALSE)*AC14+VLOOKUP(Y15,'Fertilizer Products &amp; Pricing'!$A$39:$O$52,4,FALSE)*AC15+VLOOKUP(Y16,'Fertilizer Products &amp; Pricing'!$A$39:$O$52,4,FALSE)*AC16+VLOOKUP(Y17,'Fertilizer Products &amp; Pricing'!$A$39:$O$52,4,FALSE)*AC17+VLOOKUP($Y20,'Fertilizer Products &amp; Pricing'!$A$56:$O$64,2,FALSE)*AC20</f>
        <v>0</v>
      </c>
    </row>
    <row r="7" spans="1:35" ht="15.75">
      <c r="A7" s="337" t="s">
        <v>13</v>
      </c>
      <c r="B7" s="18" t="str">
        <f>VLOOKUP(A7,'Fertilizer Products &amp; Pricing'!$A$4:$O$35,14,FALSE)</f>
        <v>None</v>
      </c>
      <c r="C7" s="119">
        <f>VLOOKUP(A7,'Fertilizer Products &amp; Pricing'!$A$4:$O$35,15,FALSE)</f>
        <v>0</v>
      </c>
      <c r="D7" s="120">
        <f>VLOOKUP(A7,'Fertilizer Products &amp; Pricing'!$A$4:$O$35,13,FALSE)</f>
        <v>1</v>
      </c>
      <c r="E7" s="303">
        <v>0</v>
      </c>
      <c r="F7" s="122">
        <f>VLOOKUP(A7,'Fertilizer Products &amp; Pricing'!$A$4:$O$35,12,FALSE)</f>
        <v>0</v>
      </c>
      <c r="G7" s="122">
        <f>(E7*VLOOKUP(A7,'Fertilizer Products &amp; Pricing'!$A$4:$O$35,11,FALSE)/D7)*C7</f>
        <v>0</v>
      </c>
      <c r="H7" s="2"/>
      <c r="I7" s="63"/>
      <c r="J7" s="63"/>
      <c r="K7" s="64"/>
      <c r="L7" s="22"/>
      <c r="M7" s="337" t="s">
        <v>13</v>
      </c>
      <c r="N7" s="18" t="str">
        <f>VLOOKUP(M7,'Fertilizer Products &amp; Pricing'!$A$4:$O$35,14,FALSE)</f>
        <v>None</v>
      </c>
      <c r="O7" s="119">
        <f>VLOOKUP(M7,'Fertilizer Products &amp; Pricing'!$A$4:$O$35,15,FALSE)</f>
        <v>0</v>
      </c>
      <c r="P7" s="120">
        <f>VLOOKUP(M7,'Fertilizer Products &amp; Pricing'!$A$4:$O$35,13,FALSE)</f>
        <v>1</v>
      </c>
      <c r="Q7" s="303">
        <v>0</v>
      </c>
      <c r="R7" s="122">
        <f>VLOOKUP(M7,'Fertilizer Products &amp; Pricing'!$A$4:$O$35,12,FALSE)</f>
        <v>0</v>
      </c>
      <c r="S7" s="122">
        <f>(Q7*VLOOKUP(M7,'Fertilizer Products &amp; Pricing'!$A$4:$O$35,11,FALSE)/P7)*O7</f>
        <v>0</v>
      </c>
      <c r="T7" s="2"/>
      <c r="U7" s="63"/>
      <c r="V7" s="63"/>
      <c r="W7" s="64"/>
      <c r="X7" s="58"/>
      <c r="Y7" s="337" t="s">
        <v>13</v>
      </c>
      <c r="Z7" s="18" t="str">
        <f>VLOOKUP(Y7,'Fertilizer Products &amp; Pricing'!$A$4:$O$35,14,FALSE)</f>
        <v>None</v>
      </c>
      <c r="AA7" s="119">
        <f>VLOOKUP(Y7,'Fertilizer Products &amp; Pricing'!$A$4:$O$35,15,FALSE)</f>
        <v>0</v>
      </c>
      <c r="AB7" s="120">
        <f>VLOOKUP(Y7,'Fertilizer Products &amp; Pricing'!$A$4:$O$35,13,FALSE)</f>
        <v>1</v>
      </c>
      <c r="AC7" s="303">
        <v>0</v>
      </c>
      <c r="AD7" s="122">
        <f>VLOOKUP(Y7,'Fertilizer Products &amp; Pricing'!$A$4:$O$35,12,FALSE)</f>
        <v>0</v>
      </c>
      <c r="AE7" s="122">
        <f>(AC7*VLOOKUP(Y7,'Fertilizer Products &amp; Pricing'!$A$4:$O$35,11,FALSE)/AB7)*AA7</f>
        <v>0</v>
      </c>
      <c r="AF7" s="2"/>
      <c r="AG7" s="63"/>
      <c r="AH7" s="63"/>
      <c r="AI7" s="64"/>
    </row>
    <row r="8" spans="1:35" ht="15.75">
      <c r="A8" s="337" t="s">
        <v>13</v>
      </c>
      <c r="B8" s="18" t="str">
        <f>VLOOKUP(A8,'Fertilizer Products &amp; Pricing'!$A$4:$O$35,14,FALSE)</f>
        <v>None</v>
      </c>
      <c r="C8" s="119">
        <f>VLOOKUP(A8,'Fertilizer Products &amp; Pricing'!$A$4:$O$35,15,FALSE)</f>
        <v>0</v>
      </c>
      <c r="D8" s="120">
        <f>VLOOKUP(A8,'Fertilizer Products &amp; Pricing'!$A$4:$O$35,13,FALSE)</f>
        <v>1</v>
      </c>
      <c r="E8" s="303">
        <v>0</v>
      </c>
      <c r="F8" s="122">
        <f>VLOOKUP(A8,'Fertilizer Products &amp; Pricing'!$A$4:$O$35,12,FALSE)</f>
        <v>0</v>
      </c>
      <c r="G8" s="122">
        <f>(E8*VLOOKUP(A8,'Fertilizer Products &amp; Pricing'!$A$4:$O$35,11,FALSE)/D8)*C8</f>
        <v>0</v>
      </c>
      <c r="H8" s="2"/>
      <c r="I8" s="657" t="s">
        <v>115</v>
      </c>
      <c r="J8" s="657" t="s">
        <v>116</v>
      </c>
      <c r="K8" s="658" t="s">
        <v>117</v>
      </c>
      <c r="L8" s="22"/>
      <c r="M8" s="337" t="s">
        <v>13</v>
      </c>
      <c r="N8" s="18" t="str">
        <f>VLOOKUP(M8,'Fertilizer Products &amp; Pricing'!$A$4:$O$35,14,FALSE)</f>
        <v>None</v>
      </c>
      <c r="O8" s="119">
        <f>VLOOKUP(M8,'Fertilizer Products &amp; Pricing'!$A$4:$O$35,15,FALSE)</f>
        <v>0</v>
      </c>
      <c r="P8" s="120">
        <f>VLOOKUP(M8,'Fertilizer Products &amp; Pricing'!$A$4:$O$35,13,FALSE)</f>
        <v>1</v>
      </c>
      <c r="Q8" s="303">
        <v>0</v>
      </c>
      <c r="R8" s="122">
        <f>VLOOKUP(M8,'Fertilizer Products &amp; Pricing'!$A$4:$O$35,12,FALSE)</f>
        <v>0</v>
      </c>
      <c r="S8" s="122">
        <f>(Q8*VLOOKUP(M8,'Fertilizer Products &amp; Pricing'!$A$4:$O$35,11,FALSE)/P8)*O8</f>
        <v>0</v>
      </c>
      <c r="T8" s="2"/>
      <c r="U8" s="657" t="s">
        <v>115</v>
      </c>
      <c r="V8" s="657" t="s">
        <v>116</v>
      </c>
      <c r="W8" s="658" t="s">
        <v>117</v>
      </c>
      <c r="X8" s="57"/>
      <c r="Y8" s="337" t="s">
        <v>13</v>
      </c>
      <c r="Z8" s="18" t="str">
        <f>VLOOKUP(Y8,'Fertilizer Products &amp; Pricing'!$A$4:$O$35,14,FALSE)</f>
        <v>None</v>
      </c>
      <c r="AA8" s="119">
        <f>VLOOKUP(Y8,'Fertilizer Products &amp; Pricing'!$A$4:$O$35,15,FALSE)</f>
        <v>0</v>
      </c>
      <c r="AB8" s="120">
        <f>VLOOKUP(Y8,'Fertilizer Products &amp; Pricing'!$A$4:$O$35,13,FALSE)</f>
        <v>1</v>
      </c>
      <c r="AC8" s="303">
        <v>0</v>
      </c>
      <c r="AD8" s="122">
        <f>VLOOKUP(Y8,'Fertilizer Products &amp; Pricing'!$A$4:$O$35,12,FALSE)</f>
        <v>0</v>
      </c>
      <c r="AE8" s="122">
        <f>(AC8*VLOOKUP(Y8,'Fertilizer Products &amp; Pricing'!$A$4:$O$35,11,FALSE)/AB8)*AA8</f>
        <v>0</v>
      </c>
      <c r="AF8" s="2"/>
      <c r="AG8" s="657" t="s">
        <v>115</v>
      </c>
      <c r="AH8" s="657" t="s">
        <v>116</v>
      </c>
      <c r="AI8" s="658" t="s">
        <v>117</v>
      </c>
    </row>
    <row r="9" spans="1:35" ht="15.75">
      <c r="A9" s="337" t="s">
        <v>13</v>
      </c>
      <c r="B9" s="18" t="str">
        <f>VLOOKUP(A9,'Fertilizer Products &amp; Pricing'!$A$4:$O$35,14,FALSE)</f>
        <v>None</v>
      </c>
      <c r="C9" s="119">
        <f>VLOOKUP(A9,'Fertilizer Products &amp; Pricing'!$A$4:$O$35,15,FALSE)</f>
        <v>0</v>
      </c>
      <c r="D9" s="120">
        <f>VLOOKUP(A9,'Fertilizer Products &amp; Pricing'!$A$4:$O$35,13,FALSE)</f>
        <v>1</v>
      </c>
      <c r="E9" s="303">
        <v>0</v>
      </c>
      <c r="F9" s="122">
        <f>VLOOKUP(A9,'Fertilizer Products &amp; Pricing'!$A$4:$O$35,12,FALSE)</f>
        <v>0</v>
      </c>
      <c r="G9" s="122">
        <f>(E9*VLOOKUP(A9,'Fertilizer Products &amp; Pricing'!$A$4:$O$35,11,FALSE)/D9)*C9</f>
        <v>0</v>
      </c>
      <c r="H9" s="2"/>
      <c r="I9" s="61">
        <f>VLOOKUP($A6,'Fertilizer Products &amp; Pricing'!$A$4:$O$35,5,FALSE)*E6+VLOOKUP($A7,'Fertilizer Products &amp; Pricing'!$A$4:$O$35,5,FALSE)*E7+VLOOKUP($A8,'Fertilizer Products &amp; Pricing'!$A$4:$O$35,5,FALSE)*E8+VLOOKUP($A9,'Fertilizer Products &amp; Pricing'!$A$4:$O$35,5,FALSE)*E9+VLOOKUP($A10,'Fertilizer Products &amp; Pricing'!$A$4:$O$35,5,FALSE)*E10+VLOOKUP($A11,'Fertilizer Products &amp; Pricing'!$A$4:$O$35,5,FALSE)*E11+VLOOKUP($A14,'Fertilizer Products &amp; Pricing'!$A$39:$O$52,5,FALSE)*E14+VLOOKUP(A15,'Fertilizer Products &amp; Pricing'!$A$39:$O$52,5,FALSE)*E15+VLOOKUP($A16,'Fertilizer Products &amp; Pricing'!$A$39:$O$52,5,FALSE)*E16+VLOOKUP($A17,'Fertilizer Products &amp; Pricing'!$A$39:$O$52,5,FALSE)*E17+VLOOKUP($A20,'Fertilizer Products &amp; Pricing'!$A$56:$O$64,2,FALSE)*E20</f>
        <v>0</v>
      </c>
      <c r="J9" s="61">
        <f>VLOOKUP($A6,'Fertilizer Products &amp; Pricing'!$A$4:$O$35,7,FALSE)*$E$6+VLOOKUP($A7,'Fertilizer Products &amp; Pricing'!$A$4:$O$35,7,FALSE)*$E$7+VLOOKUP($A8,'Fertilizer Products &amp; Pricing'!$A$4:$O$35,7,FALSE)*$E$8+VLOOKUP($A9,'Fertilizer Products &amp; Pricing'!$A$4:$O$35,7,FALSE)*$E$9+VLOOKUP($A10,'Fertilizer Products &amp; Pricing'!$A$4:$O$35,7,FALSE)*$E$10+VLOOKUP($A11,'Fertilizer Products &amp; Pricing'!$A$4:$O$35,7,FALSE)*$E$11+VLOOKUP($A14,'Fertilizer Products &amp; Pricing'!$A$39:$O$52,7,FALSE)*$E$14+VLOOKUP($A15,'Fertilizer Products &amp; Pricing'!$A$39:$O$52,7,FALSE)*E15+VLOOKUP($A16,'Fertilizer Products &amp; Pricing'!$A$39:$O$52,7,FALSE)*$E$16+VLOOKUP($A17,'Fertilizer Products &amp; Pricing'!$A$39:$O$52,7,FALSE)*$E$17+VLOOKUP($A20,'Fertilizer Products &amp; Pricing'!$A$56:$O$64,2,FALSE)*E20</f>
        <v>0</v>
      </c>
      <c r="K9" s="62">
        <f>VLOOKUP($A6,'Fertilizer Products &amp; Pricing'!$A$4:$O$35,6,FALSE)*$E$6+VLOOKUP($A7,'Fertilizer Products &amp; Pricing'!$A$4:$O$35,6,FALSE)*$E$7+VLOOKUP($A8,'Fertilizer Products &amp; Pricing'!$A$4:$O$35,6,FALSE)*$E$8+VLOOKUP($A9,'Fertilizer Products &amp; Pricing'!$A$4:$O$35,6,FALSE)*$E$9+VLOOKUP($A10,'Fertilizer Products &amp; Pricing'!$A$4:$O$35,6,FALSE)*$E$10+VLOOKUP($A11,'Fertilizer Products &amp; Pricing'!$A$4:$O$35,6,FALSE)*$E$11+VLOOKUP($A14,'Fertilizer Products &amp; Pricing'!$A$39:$O$52,6,FALSE)*$E$14+VLOOKUP($A15,'Fertilizer Products &amp; Pricing'!$A$39:$O$52,6,FALSE)*$E$15+VLOOKUP($A16,'Fertilizer Products &amp; Pricing'!$A$39:$O$52,6,FALSE)*$E$16+VLOOKUP(A$17,'Fertilizer Products &amp; Pricing'!$A$39:$O$52,6,FALSE)*$E$17+VLOOKUP($A20,'Fertilizer Products &amp; Pricing'!$A$56:$O$64,2,FALSE)*E20</f>
        <v>0</v>
      </c>
      <c r="L9" s="22"/>
      <c r="M9" s="337" t="s">
        <v>13</v>
      </c>
      <c r="N9" s="18" t="str">
        <f>VLOOKUP(M9,'Fertilizer Products &amp; Pricing'!$A$4:$O$35,14,FALSE)</f>
        <v>None</v>
      </c>
      <c r="O9" s="119">
        <f>VLOOKUP(M9,'Fertilizer Products &amp; Pricing'!$A$4:$O$35,15,FALSE)</f>
        <v>0</v>
      </c>
      <c r="P9" s="120">
        <f>VLOOKUP(M9,'Fertilizer Products &amp; Pricing'!$A$4:$O$35,13,FALSE)</f>
        <v>1</v>
      </c>
      <c r="Q9" s="303">
        <v>0</v>
      </c>
      <c r="R9" s="122">
        <f>VLOOKUP(M9,'Fertilizer Products &amp; Pricing'!$A$4:$O$35,12,FALSE)</f>
        <v>0</v>
      </c>
      <c r="S9" s="122">
        <f>(Q9*VLOOKUP(M9,'Fertilizer Products &amp; Pricing'!$A$4:$O$35,11,FALSE)/P9)*O9</f>
        <v>0</v>
      </c>
      <c r="T9" s="2"/>
      <c r="U9" s="61">
        <f>VLOOKUP($M6,'Fertilizer Products &amp; Pricing'!$A$4:$O$35,5,FALSE)*Q6+VLOOKUP($M7,'Fertilizer Products &amp; Pricing'!$A$4:$O$35,5,FALSE)*Q7+VLOOKUP($M8,'Fertilizer Products &amp; Pricing'!$A$4:$O$35,5,FALSE)*Q8+VLOOKUP($M9,'Fertilizer Products &amp; Pricing'!$A$4:$O$35,5,FALSE)*Q9+VLOOKUP($M10,'Fertilizer Products &amp; Pricing'!$A$4:$O$35,5,FALSE)*Q10+VLOOKUP($M11,'Fertilizer Products &amp; Pricing'!$A$4:$O$35,5,FALSE)*Q11+VLOOKUP($M14,'Fertilizer Products &amp; Pricing'!$A$39:$O$52,5,FALSE)*Q14+VLOOKUP(M15,'Fertilizer Products &amp; Pricing'!$A$39:$O$52,5,FALSE)*Q15+VLOOKUP($M16,'Fertilizer Products &amp; Pricing'!$A$39:$O$52,5,FALSE)*Q16+VLOOKUP($M17,'Fertilizer Products &amp; Pricing'!$A$39:$O$52,5,FALSE)*Q17+VLOOKUP($M20,'Fertilizer Products &amp; Pricing'!$A$56:$O$64,2,FALSE)*Q20</f>
        <v>0</v>
      </c>
      <c r="V9" s="61">
        <f>VLOOKUP($M6,'Fertilizer Products &amp; Pricing'!$A$4:$O$35,7,FALSE)*$Q$6+VLOOKUP($M7,'Fertilizer Products &amp; Pricing'!$A$4:$O$35,7,FALSE)*$Q$7+VLOOKUP($M8,'Fertilizer Products &amp; Pricing'!$A$4:$O$35,7,FALSE)*$Q$8+VLOOKUP($M9,'Fertilizer Products &amp; Pricing'!$A$4:$O$35,7,FALSE)*$Q$9+VLOOKUP($M10,'Fertilizer Products &amp; Pricing'!$A$4:$O$35,7,FALSE)*$Q$10+VLOOKUP($M11,'Fertilizer Products &amp; Pricing'!$A$4:$O$35,7,FALSE)*$Q$11+VLOOKUP($M14,'Fertilizer Products &amp; Pricing'!$A$39:$O$52,7,FALSE)*$Q$14+VLOOKUP($M15,'Fertilizer Products &amp; Pricing'!$A$39:$O$52,7,FALSE)*Q15+VLOOKUP($M16,'Fertilizer Products &amp; Pricing'!$A$39:$O$52,7,FALSE)*$Q$16+VLOOKUP($M17,'Fertilizer Products &amp; Pricing'!$A$39:$O$52,7,FALSE)*$Q$17+VLOOKUP($M20,'Fertilizer Products &amp; Pricing'!$A$56:$O$64,2,FALSE)*Q20</f>
        <v>0</v>
      </c>
      <c r="W9" s="62">
        <f>VLOOKUP($M6,'Fertilizer Products &amp; Pricing'!$A$4:$O$35,6,FALSE)*$Q$6+VLOOKUP($M7,'Fertilizer Products &amp; Pricing'!$A$4:$O$35,6,FALSE)*$Q$7+VLOOKUP($M8,'Fertilizer Products &amp; Pricing'!$A$4:$O$35,6,FALSE)*$Q$8+VLOOKUP($M9,'Fertilizer Products &amp; Pricing'!$A$4:$O$35,6,FALSE)*$Q$9+VLOOKUP($M10,'Fertilizer Products &amp; Pricing'!$A$4:$O$35,6,FALSE)*$Q$10+VLOOKUP($M11,'Fertilizer Products &amp; Pricing'!$A$4:$O$35,6,FALSE)*$Q$11+VLOOKUP($M14,'Fertilizer Products &amp; Pricing'!$A$39:$O$52,6,FALSE)*$Q$14+VLOOKUP($M15,'Fertilizer Products &amp; Pricing'!$A$39:$O$52,6,FALSE)*$Q$15+VLOOKUP($M16,'Fertilizer Products &amp; Pricing'!$A$39:$O$52,6,FALSE)*$Q$16+VLOOKUP(M$17,'Fertilizer Products &amp; Pricing'!$A$39:$O$52,6,FALSE)*$Q$17+VLOOKUP($M20,'Fertilizer Products &amp; Pricing'!$A$56:$O$64,2,FALSE)*Q20</f>
        <v>0</v>
      </c>
      <c r="X9" s="21"/>
      <c r="Y9" s="337" t="s">
        <v>13</v>
      </c>
      <c r="Z9" s="18" t="str">
        <f>VLOOKUP(Y9,'Fertilizer Products &amp; Pricing'!$A$4:$O$35,14,FALSE)</f>
        <v>None</v>
      </c>
      <c r="AA9" s="119">
        <f>VLOOKUP(Y9,'Fertilizer Products &amp; Pricing'!$A$4:$O$35,15,FALSE)</f>
        <v>0</v>
      </c>
      <c r="AB9" s="120">
        <f>VLOOKUP(Y9,'Fertilizer Products &amp; Pricing'!$A$4:$O$35,13,FALSE)</f>
        <v>1</v>
      </c>
      <c r="AC9" s="303">
        <v>0</v>
      </c>
      <c r="AD9" s="122">
        <f>VLOOKUP(Y9,'Fertilizer Products &amp; Pricing'!$A$4:$O$35,12,FALSE)</f>
        <v>0</v>
      </c>
      <c r="AE9" s="122">
        <f>(AC9*VLOOKUP(Y9,'Fertilizer Products &amp; Pricing'!$A$4:$O$35,11,FALSE)/AB9)*AA9</f>
        <v>0</v>
      </c>
      <c r="AF9" s="2"/>
      <c r="AG9" s="61">
        <f>VLOOKUP($Y6,'Fertilizer Products &amp; Pricing'!$A$4:$O$35,5,FALSE)*AC6+VLOOKUP($Y7,'Fertilizer Products &amp; Pricing'!$A$4:$O$35,5,FALSE)*AC7+VLOOKUP($Y8,'Fertilizer Products &amp; Pricing'!$A$4:$O$35,5,FALSE)*AC8+VLOOKUP($Y9,'Fertilizer Products &amp; Pricing'!$A$4:$O$35,5,FALSE)*AC9+VLOOKUP($Y10,'Fertilizer Products &amp; Pricing'!$A$4:$O$35,5,FALSE)*AC10+VLOOKUP($Y11,'Fertilizer Products &amp; Pricing'!$A$4:$O$35,5,FALSE)*AC11+VLOOKUP($Y14,'Fertilizer Products &amp; Pricing'!$A$39:$O$52,5,FALSE)*AC14+VLOOKUP(Y15,'Fertilizer Products &amp; Pricing'!$A$39:$O$52,5,FALSE)*AC15+VLOOKUP($Y16,'Fertilizer Products &amp; Pricing'!$A$39:$O$52,5,FALSE)*AC16+VLOOKUP($Y17,'Fertilizer Products &amp; Pricing'!$A$39:$O$52,5,FALSE)*AC17+VLOOKUP($Y20,'Fertilizer Products &amp; Pricing'!$A$56:$O$64,2,FALSE)*AC20</f>
        <v>0</v>
      </c>
      <c r="AH9" s="61">
        <f>VLOOKUP($Y6,'Fertilizer Products &amp; Pricing'!$A$4:$O$35,7,FALSE)*$AC$6+VLOOKUP($Y7,'Fertilizer Products &amp; Pricing'!$A$4:$O$35,7,FALSE)*$AC$7+VLOOKUP($Y8,'Fertilizer Products &amp; Pricing'!$A$4:$O$35,7,FALSE)*$AC$8+VLOOKUP($Y9,'Fertilizer Products &amp; Pricing'!$A$4:$O$35,7,FALSE)*$AC$9+VLOOKUP($Y10,'Fertilizer Products &amp; Pricing'!$A$4:$O$35,7,FALSE)*$AC$10+VLOOKUP($Y11,'Fertilizer Products &amp; Pricing'!$A$4:$O$35,7,FALSE)*$AC$11+VLOOKUP($Y14,'Fertilizer Products &amp; Pricing'!$A$39:$O$52,7,FALSE)*$AC$14+VLOOKUP($Y15,'Fertilizer Products &amp; Pricing'!$A$39:$O$52,7,FALSE)*AC15+VLOOKUP($Y16,'Fertilizer Products &amp; Pricing'!$A$39:$O$52,7,FALSE)*$AC$16+VLOOKUP($Y17,'Fertilizer Products &amp; Pricing'!$A$39:$O$52,7,FALSE)*$AC$17+VLOOKUP($Y20,'Fertilizer Products &amp; Pricing'!$A$56:$O$64,2,FALSE)*AC20</f>
        <v>0</v>
      </c>
      <c r="AI9" s="62">
        <f>VLOOKUP($Y6,'Fertilizer Products &amp; Pricing'!$A$4:$O$35,6,FALSE)*$AC$6+VLOOKUP($Y7,'Fertilizer Products &amp; Pricing'!$A$4:$O$35,6,FALSE)*$AC$7+VLOOKUP($Y8,'Fertilizer Products &amp; Pricing'!$A$4:$O$35,6,FALSE)*$AC$8+VLOOKUP($Y9,'Fertilizer Products &amp; Pricing'!$A$4:$O$35,6,FALSE)*$AC$9+VLOOKUP($Y10,'Fertilizer Products &amp; Pricing'!$A$4:$O$35,6,FALSE)*$AC$10+VLOOKUP($Y11,'Fertilizer Products &amp; Pricing'!$A$4:$O$35,6,FALSE)*$AC$11+VLOOKUP($Y14,'Fertilizer Products &amp; Pricing'!$A$39:$O$52,6,FALSE)*$AC$14+VLOOKUP($Y15,'Fertilizer Products &amp; Pricing'!$A$39:$O$52,6,FALSE)*$AC$15+VLOOKUP($Y16,'Fertilizer Products &amp; Pricing'!$A$39:$O$52,6,FALSE)*$AC$16+VLOOKUP(Y$17,'Fertilizer Products &amp; Pricing'!$A$39:$O$52,6,FALSE)*$AC$17+VLOOKUP($Y20,'Fertilizer Products &amp; Pricing'!$A$56:$O$64,2,FALSE)*AC20</f>
        <v>0</v>
      </c>
    </row>
    <row r="10" spans="1:35" ht="15.75">
      <c r="A10" s="337" t="s">
        <v>13</v>
      </c>
      <c r="B10" s="18" t="str">
        <f>VLOOKUP(A10,'Fertilizer Products &amp; Pricing'!$A$4:$O$35,14,FALSE)</f>
        <v>None</v>
      </c>
      <c r="C10" s="119">
        <f>VLOOKUP(A10,'Fertilizer Products &amp; Pricing'!$A$4:$O$35,15,FALSE)</f>
        <v>0</v>
      </c>
      <c r="D10" s="120">
        <f>VLOOKUP(A10,'Fertilizer Products &amp; Pricing'!$A$4:$O$35,13,FALSE)</f>
        <v>1</v>
      </c>
      <c r="E10" s="303">
        <v>0</v>
      </c>
      <c r="F10" s="122">
        <f>VLOOKUP(A10,'Fertilizer Products &amp; Pricing'!$A$4:$O$35,12,FALSE)</f>
        <v>0</v>
      </c>
      <c r="G10" s="122">
        <f>(E10*VLOOKUP(A10,'Fertilizer Products &amp; Pricing'!$A$4:$O$35,11,FALSE)/D10)*C10</f>
        <v>0</v>
      </c>
      <c r="H10" s="2"/>
      <c r="I10" s="63"/>
      <c r="J10" s="63"/>
      <c r="K10" s="64"/>
      <c r="L10" s="22"/>
      <c r="M10" s="337" t="s">
        <v>13</v>
      </c>
      <c r="N10" s="18" t="str">
        <f>VLOOKUP(M10,'Fertilizer Products &amp; Pricing'!$A$4:$O$35,14,FALSE)</f>
        <v>None</v>
      </c>
      <c r="O10" s="119">
        <f>VLOOKUP(M10,'Fertilizer Products &amp; Pricing'!$A$4:$O$35,15,FALSE)</f>
        <v>0</v>
      </c>
      <c r="P10" s="120">
        <f>VLOOKUP(M10,'Fertilizer Products &amp; Pricing'!$A$4:$O$35,13,FALSE)</f>
        <v>1</v>
      </c>
      <c r="Q10" s="303">
        <v>0</v>
      </c>
      <c r="R10" s="122">
        <f>VLOOKUP(M10,'Fertilizer Products &amp; Pricing'!$A$4:$O$35,12,FALSE)</f>
        <v>0</v>
      </c>
      <c r="S10" s="122">
        <f>(Q10*VLOOKUP(M10,'Fertilizer Products &amp; Pricing'!$A$4:$O$35,11,FALSE)/P10)*O10</f>
        <v>0</v>
      </c>
      <c r="T10" s="2"/>
      <c r="U10" s="63"/>
      <c r="V10" s="63"/>
      <c r="W10" s="64"/>
      <c r="X10" s="58"/>
      <c r="Y10" s="337" t="s">
        <v>13</v>
      </c>
      <c r="Z10" s="18" t="str">
        <f>VLOOKUP(Y10,'Fertilizer Products &amp; Pricing'!$A$4:$O$35,14,FALSE)</f>
        <v>None</v>
      </c>
      <c r="AA10" s="119">
        <f>VLOOKUP(Y10,'Fertilizer Products &amp; Pricing'!$A$4:$O$35,15,FALSE)</f>
        <v>0</v>
      </c>
      <c r="AB10" s="120">
        <f>VLOOKUP(Y10,'Fertilizer Products &amp; Pricing'!$A$4:$O$35,13,FALSE)</f>
        <v>1</v>
      </c>
      <c r="AC10" s="303">
        <v>0</v>
      </c>
      <c r="AD10" s="122">
        <f>VLOOKUP(Y10,'Fertilizer Products &amp; Pricing'!$A$4:$O$35,12,FALSE)</f>
        <v>0</v>
      </c>
      <c r="AE10" s="122">
        <f>(AC10*VLOOKUP(Y10,'Fertilizer Products &amp; Pricing'!$A$4:$O$35,11,FALSE)/AB10)*AA10</f>
        <v>0</v>
      </c>
      <c r="AF10" s="2"/>
      <c r="AG10" s="63"/>
      <c r="AH10" s="63"/>
      <c r="AI10" s="64"/>
    </row>
    <row r="11" spans="1:35" ht="15.75">
      <c r="A11" s="337" t="s">
        <v>13</v>
      </c>
      <c r="B11" s="18" t="str">
        <f>VLOOKUP(A11,'Fertilizer Products &amp; Pricing'!$A$4:$O$35,14,FALSE)</f>
        <v>None</v>
      </c>
      <c r="C11" s="119">
        <f>VLOOKUP(A11,'Fertilizer Products &amp; Pricing'!$A$4:$O$35,15,FALSE)</f>
        <v>0</v>
      </c>
      <c r="D11" s="120">
        <f>VLOOKUP(A11,'Fertilizer Products &amp; Pricing'!$A$4:$O$35,13,FALSE)</f>
        <v>1</v>
      </c>
      <c r="E11" s="303">
        <v>0</v>
      </c>
      <c r="F11" s="122">
        <f>VLOOKUP(A11,'Fertilizer Products &amp; Pricing'!$A$4:$O$35,12,FALSE)</f>
        <v>0</v>
      </c>
      <c r="G11" s="122">
        <f>(E11*VLOOKUP(A11,'Fertilizer Products &amp; Pricing'!$A$4:$O$35,11,FALSE)/D11)*C11</f>
        <v>0</v>
      </c>
      <c r="H11" s="2"/>
      <c r="I11" s="657" t="s">
        <v>118</v>
      </c>
      <c r="J11" s="657" t="s">
        <v>119</v>
      </c>
      <c r="K11" s="658" t="s">
        <v>120</v>
      </c>
      <c r="L11" s="22"/>
      <c r="M11" s="337" t="s">
        <v>13</v>
      </c>
      <c r="N11" s="18" t="str">
        <f>VLOOKUP(M11,'Fertilizer Products &amp; Pricing'!$A$4:$O$35,14,FALSE)</f>
        <v>None</v>
      </c>
      <c r="O11" s="119">
        <f>VLOOKUP(M11,'Fertilizer Products &amp; Pricing'!$A$4:$O$35,15,FALSE)</f>
        <v>0</v>
      </c>
      <c r="P11" s="120">
        <f>VLOOKUP(M11,'Fertilizer Products &amp; Pricing'!$A$4:$O$35,13,FALSE)</f>
        <v>1</v>
      </c>
      <c r="Q11" s="303">
        <v>0</v>
      </c>
      <c r="R11" s="122">
        <f>VLOOKUP(M11,'Fertilizer Products &amp; Pricing'!$A$4:$O$35,12,FALSE)</f>
        <v>0</v>
      </c>
      <c r="S11" s="122">
        <f>(Q11*VLOOKUP(M11,'Fertilizer Products &amp; Pricing'!$A$4:$O$35,11,FALSE)/P11)*O11</f>
        <v>0</v>
      </c>
      <c r="T11" s="2"/>
      <c r="U11" s="657" t="s">
        <v>118</v>
      </c>
      <c r="V11" s="657" t="s">
        <v>119</v>
      </c>
      <c r="W11" s="658" t="s">
        <v>120</v>
      </c>
      <c r="X11" s="57"/>
      <c r="Y11" s="337" t="s">
        <v>13</v>
      </c>
      <c r="Z11" s="18" t="str">
        <f>VLOOKUP(Y11,'Fertilizer Products &amp; Pricing'!$A$4:$O$35,14,FALSE)</f>
        <v>None</v>
      </c>
      <c r="AA11" s="119">
        <f>VLOOKUP(Y11,'Fertilizer Products &amp; Pricing'!$A$4:$O$35,15,FALSE)</f>
        <v>0</v>
      </c>
      <c r="AB11" s="120">
        <f>VLOOKUP(Y11,'Fertilizer Products &amp; Pricing'!$A$4:$O$35,13,FALSE)</f>
        <v>1</v>
      </c>
      <c r="AC11" s="303">
        <v>0</v>
      </c>
      <c r="AD11" s="122">
        <f>VLOOKUP(Y11,'Fertilizer Products &amp; Pricing'!$A$4:$O$35,12,FALSE)</f>
        <v>0</v>
      </c>
      <c r="AE11" s="122">
        <f>(AC11*VLOOKUP(Y11,'Fertilizer Products &amp; Pricing'!$A$4:$O$35,11,FALSE)/AB11)*AA11</f>
        <v>0</v>
      </c>
      <c r="AF11" s="2"/>
      <c r="AG11" s="657" t="s">
        <v>118</v>
      </c>
      <c r="AH11" s="657" t="s">
        <v>119</v>
      </c>
      <c r="AI11" s="658" t="s">
        <v>120</v>
      </c>
    </row>
    <row r="12" spans="1:35" ht="15.75">
      <c r="A12" s="123"/>
      <c r="B12" s="44"/>
      <c r="C12" s="119"/>
      <c r="D12" s="122"/>
      <c r="E12" s="101"/>
      <c r="F12" s="122"/>
      <c r="G12" s="44"/>
      <c r="H12" s="2"/>
      <c r="I12" s="65">
        <f>VLOOKUP($A$15,'Fertilizer Products &amp; Pricing'!$A$39:$O$52,8,FALSE)*$E$15+VLOOKUP($A$16,'Fertilizer Products &amp; Pricing'!$A$39:$O$52,8,FALSE)*$E$16+VLOOKUP($A$17,'Fertilizer Products &amp; Pricing'!$A$39:$O$52,8,FALSE)*$E$17+VLOOKUP($A$14,'Fertilizer Products &amp; Pricing'!$A$39:$O$52,8,FALSE)*$E$14+VLOOKUP($A20,'Fertilizer Products &amp; Pricing'!$A$56:$O$64,2,FALSE)*E20</f>
        <v>0</v>
      </c>
      <c r="J12" s="65">
        <f>VLOOKUP($A$15,'Fertilizer Products &amp; Pricing'!$A$39:$O$52,9,FALSE)*$E$15+VLOOKUP($A$16,'Fertilizer Products &amp; Pricing'!$A$39:$O$52,9,FALSE)*$E$16+VLOOKUP($A$17,'Fertilizer Products &amp; Pricing'!$A$39:$O$52,9,FALSE)*$E$17+VLOOKUP($A$14,'Fertilizer Products &amp; Pricing'!$A$39:$O$52,9,FALSE)*$E$14+VLOOKUP($A20,'Fertilizer Products &amp; Pricing'!$A$56:$O$64,2,FALSE)*E20</f>
        <v>0</v>
      </c>
      <c r="K12" s="65">
        <f>VLOOKUP($A$15,'Fertilizer Products &amp; Pricing'!$A$39:$O$52,10,FALSE)*$E$15+VLOOKUP($A$16,'Fertilizer Products &amp; Pricing'!$A$39:$O$52,10,FALSE)*$E$16+VLOOKUP($A$17,'Fertilizer Products &amp; Pricing'!$A$39:$O$52,10,FALSE)*$E$17+VLOOKUP($A$14,'Fertilizer Products &amp; Pricing'!$A$39:$O$52,10,FALSE)*$E$14</f>
        <v>0</v>
      </c>
      <c r="L12" s="22"/>
      <c r="M12" s="123"/>
      <c r="N12" s="44"/>
      <c r="O12" s="119"/>
      <c r="P12" s="122"/>
      <c r="Q12" s="101"/>
      <c r="R12" s="122"/>
      <c r="S12" s="44"/>
      <c r="T12" s="2"/>
      <c r="U12" s="65">
        <f>VLOOKUP($M15,'Fertilizer Products &amp; Pricing'!$A$39:$O$52,8,FALSE)*$Q15+VLOOKUP($M16,'Fertilizer Products &amp; Pricing'!$A$39:$O$52,8,FALSE)*$Q16+VLOOKUP($M17,'Fertilizer Products &amp; Pricing'!$A$39:$O$52,8,FALSE)*$Q17+VLOOKUP($M14,'Fertilizer Products &amp; Pricing'!$A$39:$O$52,8,FALSE)*$Q14+VLOOKUP($M20,'Fertilizer Products &amp; Pricing'!$A$56:$O$64,2,FALSE)*Q20</f>
        <v>0</v>
      </c>
      <c r="V12" s="65">
        <f>VLOOKUP($M15,'Fertilizer Products &amp; Pricing'!$A$39:$O$52,9,FALSE)*$Q15+VLOOKUP($M16,'Fertilizer Products &amp; Pricing'!$A$39:$O$52,9,FALSE)*$Q16+VLOOKUP($M17,'Fertilizer Products &amp; Pricing'!$A$39:$O$52,9,FALSE)*$Q17+VLOOKUP($M14,'Fertilizer Products &amp; Pricing'!$A$39:$O$52,9,FALSE)*$Q14+VLOOKUP($M20,'Fertilizer Products &amp; Pricing'!$A$56:$O$64,2,FALSE)*Q20</f>
        <v>0</v>
      </c>
      <c r="W12" s="66">
        <v>0</v>
      </c>
      <c r="X12" s="59"/>
      <c r="Y12" s="123"/>
      <c r="Z12" s="44"/>
      <c r="AA12" s="119"/>
      <c r="AB12" s="122"/>
      <c r="AC12" s="101"/>
      <c r="AD12" s="122"/>
      <c r="AE12" s="44"/>
      <c r="AF12" s="2"/>
      <c r="AG12" s="65">
        <f>VLOOKUP($Y15,'Fertilizer Products &amp; Pricing'!$A$39:$O$52,8,FALSE)*$AC15+VLOOKUP($Y16,'Fertilizer Products &amp; Pricing'!$A$39:$O$52,8,FALSE)*$AC16+VLOOKUP($Y17,'Fertilizer Products &amp; Pricing'!$A$39:$O$52,8,FALSE)*$AC17+VLOOKUP($Y14,'Fertilizer Products &amp; Pricing'!$A$39:$O$52,8,FALSE)*$AC14+VLOOKUP($Y20,'Fertilizer Products &amp; Pricing'!$A$56:$O$64,2,FALSE)*AC20</f>
        <v>0</v>
      </c>
      <c r="AH12" s="65">
        <f>VLOOKUP($Y15,'Fertilizer Products &amp; Pricing'!$A$39:$O$52,9,FALSE)*$AC15+VLOOKUP($Y16,'Fertilizer Products &amp; Pricing'!$A$39:$O$52,9,FALSE)*$AC16+VLOOKUP($Y17,'Fertilizer Products &amp; Pricing'!$A$39:$O$52,9,FALSE)*$AC17+VLOOKUP($Y14,'Fertilizer Products &amp; Pricing'!$A$39:$O$52,9,FALSE)*$AC14+VLOOKUP($Y20,'Fertilizer Products &amp; Pricing'!$A$56:$O$64,2,FALSE)*AC20</f>
        <v>0</v>
      </c>
      <c r="AI12" s="66">
        <v>0</v>
      </c>
    </row>
    <row r="13" spans="1:35" ht="15.75">
      <c r="A13" s="93" t="s">
        <v>349</v>
      </c>
      <c r="B13" s="19"/>
      <c r="C13" s="119"/>
      <c r="D13" s="19"/>
      <c r="E13" s="121"/>
      <c r="F13" s="54"/>
      <c r="G13" s="44"/>
      <c r="H13" s="2"/>
      <c r="I13" s="2"/>
      <c r="J13" s="2"/>
      <c r="K13" s="55"/>
      <c r="L13" s="22"/>
      <c r="M13" s="93" t="s">
        <v>349</v>
      </c>
      <c r="N13" s="19"/>
      <c r="O13" s="119"/>
      <c r="P13" s="19"/>
      <c r="Q13" s="121"/>
      <c r="R13" s="54"/>
      <c r="S13" s="44"/>
      <c r="T13" s="2"/>
      <c r="U13" s="2"/>
      <c r="V13" s="2"/>
      <c r="W13" s="55"/>
      <c r="Y13" s="93" t="s">
        <v>349</v>
      </c>
      <c r="Z13" s="19"/>
      <c r="AA13" s="119"/>
      <c r="AB13" s="19"/>
      <c r="AC13" s="121"/>
      <c r="AD13" s="54"/>
      <c r="AE13" s="44"/>
      <c r="AF13" s="2"/>
      <c r="AG13" s="2"/>
      <c r="AH13" s="2"/>
      <c r="AI13" s="55"/>
    </row>
    <row r="14" spans="1:35" ht="15.75">
      <c r="A14" s="337" t="s">
        <v>13</v>
      </c>
      <c r="B14" s="18" t="str">
        <f>VLOOKUP($A14,'Fertilizer Products &amp; Pricing'!$A$39:$O$52,14,FALSE)</f>
        <v>None</v>
      </c>
      <c r="C14" s="119">
        <f>VLOOKUP($A14,'Fertilizer Products &amp; Pricing'!$A$39:$O$52,15,FALSE)</f>
        <v>0</v>
      </c>
      <c r="D14" s="120">
        <f>VLOOKUP($A14,'Fertilizer Products &amp; Pricing'!$A$39:$O$52,13,FALSE)</f>
        <v>1</v>
      </c>
      <c r="E14" s="303">
        <v>0</v>
      </c>
      <c r="F14" s="122">
        <f>VLOOKUP($A14,'Fertilizer Products &amp; Pricing'!$A$39:$O$52,12,FALSE)</f>
        <v>0</v>
      </c>
      <c r="G14" s="44">
        <f>(E14*VLOOKUP(A14,'Fertilizer Products &amp; Pricing'!$A$39:$O$52,11,FALSE)/D14)*C14</f>
        <v>0</v>
      </c>
      <c r="H14" s="2"/>
      <c r="I14" s="2"/>
      <c r="J14" s="2"/>
      <c r="K14" s="55"/>
      <c r="L14" s="22"/>
      <c r="M14" s="337" t="s">
        <v>13</v>
      </c>
      <c r="N14" s="18" t="str">
        <f>VLOOKUP($A14,'Fertilizer Products &amp; Pricing'!$A$39:$O$52,14,FALSE)</f>
        <v>None</v>
      </c>
      <c r="O14" s="119">
        <f>VLOOKUP($A14,'Fertilizer Products &amp; Pricing'!$A$39:$O$52,15,FALSE)</f>
        <v>0</v>
      </c>
      <c r="P14" s="120">
        <f>VLOOKUP($A14,'Fertilizer Products &amp; Pricing'!$A$39:$O$52,13,FALSE)</f>
        <v>1</v>
      </c>
      <c r="Q14" s="303">
        <v>0</v>
      </c>
      <c r="R14" s="122">
        <f>VLOOKUP($A14,'Fertilizer Products &amp; Pricing'!$A$39:$O$52,12,FALSE)</f>
        <v>0</v>
      </c>
      <c r="S14" s="44">
        <f>(Q14*VLOOKUP(M14,'Fertilizer Products &amp; Pricing'!$A$39:$O$52,11,FALSE)/P14)*O14</f>
        <v>0</v>
      </c>
      <c r="T14" s="2"/>
      <c r="U14" s="2"/>
      <c r="V14" s="2"/>
      <c r="W14" s="55"/>
      <c r="Y14" s="337" t="s">
        <v>13</v>
      </c>
      <c r="Z14" s="18" t="str">
        <f>VLOOKUP($A14,'Fertilizer Products &amp; Pricing'!$A$39:$O$52,14,FALSE)</f>
        <v>None</v>
      </c>
      <c r="AA14" s="119">
        <f>VLOOKUP($A14,'Fertilizer Products &amp; Pricing'!$A$39:$O$52,15,FALSE)</f>
        <v>0</v>
      </c>
      <c r="AB14" s="120">
        <f>VLOOKUP($A14,'Fertilizer Products &amp; Pricing'!$A$39:$O$52,13,FALSE)</f>
        <v>1</v>
      </c>
      <c r="AC14" s="303">
        <v>0</v>
      </c>
      <c r="AD14" s="122">
        <f>VLOOKUP($A14,'Fertilizer Products &amp; Pricing'!$A$39:$O$52,12,FALSE)</f>
        <v>0</v>
      </c>
      <c r="AE14" s="44">
        <f>(AC14*VLOOKUP(Y14,'Fertilizer Products &amp; Pricing'!$A$39:$O$52,11,FALSE)/AB14)*AA14</f>
        <v>0</v>
      </c>
      <c r="AF14" s="2"/>
      <c r="AG14" s="2"/>
      <c r="AH14" s="2"/>
      <c r="AI14" s="55"/>
    </row>
    <row r="15" spans="1:35" ht="15.75">
      <c r="A15" s="337" t="s">
        <v>13</v>
      </c>
      <c r="B15" s="18" t="str">
        <f>VLOOKUP($A15,'Fertilizer Products &amp; Pricing'!$A$39:$O$52,14,FALSE)</f>
        <v>None</v>
      </c>
      <c r="C15" s="119">
        <f>VLOOKUP($A15,'Fertilizer Products &amp; Pricing'!$A$39:$O$52,15,FALSE)</f>
        <v>0</v>
      </c>
      <c r="D15" s="120">
        <f>VLOOKUP($A15,'Fertilizer Products &amp; Pricing'!$A$39:$O$52,13,FALSE)</f>
        <v>1</v>
      </c>
      <c r="E15" s="303">
        <v>0</v>
      </c>
      <c r="F15" s="122">
        <f>VLOOKUP($A15,'Fertilizer Products &amp; Pricing'!$A$39:$O$52,12,FALSE)</f>
        <v>0</v>
      </c>
      <c r="G15" s="44">
        <f>(E15*VLOOKUP(A15,'Fertilizer Products &amp; Pricing'!$A$39:$O$52,11,FALSE)/D15)*C15</f>
        <v>0</v>
      </c>
      <c r="H15" s="2"/>
      <c r="I15" s="2"/>
      <c r="J15" s="2"/>
      <c r="K15" s="55"/>
      <c r="L15" s="22"/>
      <c r="M15" s="337" t="s">
        <v>13</v>
      </c>
      <c r="N15" s="18" t="str">
        <f>VLOOKUP($A15,'Fertilizer Products &amp; Pricing'!$A$39:$O$52,14,FALSE)</f>
        <v>None</v>
      </c>
      <c r="O15" s="119">
        <f>VLOOKUP($A15,'Fertilizer Products &amp; Pricing'!$A$39:$O$52,15,FALSE)</f>
        <v>0</v>
      </c>
      <c r="P15" s="120">
        <f>VLOOKUP($A15,'Fertilizer Products &amp; Pricing'!$A$39:$O$52,13,FALSE)</f>
        <v>1</v>
      </c>
      <c r="Q15" s="303">
        <v>0</v>
      </c>
      <c r="R15" s="122">
        <f>VLOOKUP($A15,'Fertilizer Products &amp; Pricing'!$A$39:$O$52,12,FALSE)</f>
        <v>0</v>
      </c>
      <c r="S15" s="44">
        <f>(Q15*VLOOKUP(M15,'Fertilizer Products &amp; Pricing'!$A$39:$O$52,11,FALSE)/P15)*O15</f>
        <v>0</v>
      </c>
      <c r="T15" s="2"/>
      <c r="U15" s="2"/>
      <c r="V15" s="2"/>
      <c r="W15" s="55"/>
      <c r="Y15" s="337" t="s">
        <v>13</v>
      </c>
      <c r="Z15" s="18" t="str">
        <f>VLOOKUP($A15,'Fertilizer Products &amp; Pricing'!$A$39:$O$52,14,FALSE)</f>
        <v>None</v>
      </c>
      <c r="AA15" s="119">
        <f>VLOOKUP($A15,'Fertilizer Products &amp; Pricing'!$A$39:$O$52,15,FALSE)</f>
        <v>0</v>
      </c>
      <c r="AB15" s="120">
        <f>VLOOKUP($A15,'Fertilizer Products &amp; Pricing'!$A$39:$O$52,13,FALSE)</f>
        <v>1</v>
      </c>
      <c r="AC15" s="303">
        <v>0</v>
      </c>
      <c r="AD15" s="122">
        <f>VLOOKUP($A15,'Fertilizer Products &amp; Pricing'!$A$39:$O$52,12,FALSE)</f>
        <v>0</v>
      </c>
      <c r="AE15" s="44">
        <f>(AC15*VLOOKUP(Y15,'Fertilizer Products &amp; Pricing'!$A$39:$O$52,11,FALSE)/AB15)*AA15</f>
        <v>0</v>
      </c>
      <c r="AF15" s="2"/>
      <c r="AG15" s="2"/>
      <c r="AH15" s="2"/>
      <c r="AI15" s="55"/>
    </row>
    <row r="16" spans="1:35" ht="15.75">
      <c r="A16" s="337" t="s">
        <v>13</v>
      </c>
      <c r="B16" s="18" t="str">
        <f>VLOOKUP($A16,'Fertilizer Products &amp; Pricing'!$A$39:$O$52,14,FALSE)</f>
        <v>None</v>
      </c>
      <c r="C16" s="119">
        <f>VLOOKUP($A16,'Fertilizer Products &amp; Pricing'!$A$39:$O$52,15,FALSE)</f>
        <v>0</v>
      </c>
      <c r="D16" s="120">
        <f>VLOOKUP($A16,'Fertilizer Products &amp; Pricing'!$A$39:$O$52,13,FALSE)</f>
        <v>1</v>
      </c>
      <c r="E16" s="303">
        <v>0</v>
      </c>
      <c r="F16" s="122">
        <f>VLOOKUP($A16,'Fertilizer Products &amp; Pricing'!$A$39:$O$52,12,FALSE)</f>
        <v>0</v>
      </c>
      <c r="G16" s="44">
        <f>(E16*VLOOKUP(A16,'Fertilizer Products &amp; Pricing'!$A$39:$O$52,11,FALSE)/D16)*C16</f>
        <v>0</v>
      </c>
      <c r="H16" s="2"/>
      <c r="I16" s="2"/>
      <c r="J16" s="2"/>
      <c r="K16" s="55"/>
      <c r="L16" s="22"/>
      <c r="M16" s="337" t="s">
        <v>13</v>
      </c>
      <c r="N16" s="18" t="str">
        <f>VLOOKUP($A16,'Fertilizer Products &amp; Pricing'!$A$39:$O$52,14,FALSE)</f>
        <v>None</v>
      </c>
      <c r="O16" s="119">
        <f>VLOOKUP($A16,'Fertilizer Products &amp; Pricing'!$A$39:$O$52,15,FALSE)</f>
        <v>0</v>
      </c>
      <c r="P16" s="120">
        <f>VLOOKUP($A16,'Fertilizer Products &amp; Pricing'!$A$39:$O$52,13,FALSE)</f>
        <v>1</v>
      </c>
      <c r="Q16" s="303">
        <v>0</v>
      </c>
      <c r="R16" s="122">
        <f>VLOOKUP($A16,'Fertilizer Products &amp; Pricing'!$A$39:$O$52,12,FALSE)</f>
        <v>0</v>
      </c>
      <c r="S16" s="44">
        <f>(Q16*VLOOKUP(M16,'Fertilizer Products &amp; Pricing'!$A$39:$O$52,11,FALSE)/P16)*O16</f>
        <v>0</v>
      </c>
      <c r="T16" s="2"/>
      <c r="U16" s="2"/>
      <c r="V16" s="2"/>
      <c r="W16" s="55"/>
      <c r="Y16" s="337" t="s">
        <v>13</v>
      </c>
      <c r="Z16" s="18" t="str">
        <f>VLOOKUP($A16,'Fertilizer Products &amp; Pricing'!$A$39:$O$52,14,FALSE)</f>
        <v>None</v>
      </c>
      <c r="AA16" s="119">
        <f>VLOOKUP($A16,'Fertilizer Products &amp; Pricing'!$A$39:$O$52,15,FALSE)</f>
        <v>0</v>
      </c>
      <c r="AB16" s="120">
        <f>VLOOKUP($A16,'Fertilizer Products &amp; Pricing'!$A$39:$O$52,13,FALSE)</f>
        <v>1</v>
      </c>
      <c r="AC16" s="303">
        <v>0</v>
      </c>
      <c r="AD16" s="122">
        <f>VLOOKUP($A16,'Fertilizer Products &amp; Pricing'!$A$39:$O$52,12,FALSE)</f>
        <v>0</v>
      </c>
      <c r="AE16" s="44">
        <f>(AC16*VLOOKUP(Y16,'Fertilizer Products &amp; Pricing'!$A$39:$O$52,11,FALSE)/AB16)*AA16</f>
        <v>0</v>
      </c>
      <c r="AF16" s="2"/>
      <c r="AG16" s="2"/>
      <c r="AH16" s="2"/>
      <c r="AI16" s="55"/>
    </row>
    <row r="17" spans="1:35" ht="15.75">
      <c r="A17" s="337" t="s">
        <v>13</v>
      </c>
      <c r="B17" s="18" t="str">
        <f>VLOOKUP($A17,'Fertilizer Products &amp; Pricing'!$A$39:$O$52,14,FALSE)</f>
        <v>None</v>
      </c>
      <c r="C17" s="119">
        <f>VLOOKUP($A17,'Fertilizer Products &amp; Pricing'!$A$39:$O$52,15,FALSE)</f>
        <v>0</v>
      </c>
      <c r="D17" s="120">
        <f>VLOOKUP($A17,'Fertilizer Products &amp; Pricing'!$A$39:$O$52,13,FALSE)</f>
        <v>1</v>
      </c>
      <c r="E17" s="303">
        <v>0</v>
      </c>
      <c r="F17" s="122">
        <f>VLOOKUP($A17,'Fertilizer Products &amp; Pricing'!$A$39:$O$52,12,FALSE)</f>
        <v>0</v>
      </c>
      <c r="G17" s="44">
        <f>(E17*VLOOKUP(A17,'Fertilizer Products &amp; Pricing'!$A$39:$O$52,11,FALSE)/D17)*C17</f>
        <v>0</v>
      </c>
      <c r="H17" s="2"/>
      <c r="I17" s="2"/>
      <c r="J17" s="2"/>
      <c r="K17" s="55"/>
      <c r="L17" s="22"/>
      <c r="M17" s="337" t="s">
        <v>13</v>
      </c>
      <c r="N17" s="18" t="str">
        <f>VLOOKUP($A17,'Fertilizer Products &amp; Pricing'!$A$39:$O$52,14,FALSE)</f>
        <v>None</v>
      </c>
      <c r="O17" s="119">
        <f>VLOOKUP($A17,'Fertilizer Products &amp; Pricing'!$A$39:$O$52,15,FALSE)</f>
        <v>0</v>
      </c>
      <c r="P17" s="120">
        <f>VLOOKUP($A17,'Fertilizer Products &amp; Pricing'!$A$39:$O$52,13,FALSE)</f>
        <v>1</v>
      </c>
      <c r="Q17" s="303">
        <v>0</v>
      </c>
      <c r="R17" s="122">
        <f>VLOOKUP($A17,'Fertilizer Products &amp; Pricing'!$A$39:$O$52,12,FALSE)</f>
        <v>0</v>
      </c>
      <c r="S17" s="44">
        <f>(Q17*VLOOKUP(M17,'Fertilizer Products &amp; Pricing'!$A$39:$O$52,11,FALSE)/P17)*O17</f>
        <v>0</v>
      </c>
      <c r="T17" s="2"/>
      <c r="U17" s="2"/>
      <c r="V17" s="2"/>
      <c r="W17" s="55"/>
      <c r="Y17" s="337" t="s">
        <v>13</v>
      </c>
      <c r="Z17" s="18" t="str">
        <f>VLOOKUP($A17,'Fertilizer Products &amp; Pricing'!$A$39:$O$52,14,FALSE)</f>
        <v>None</v>
      </c>
      <c r="AA17" s="119">
        <f>VLOOKUP($A17,'Fertilizer Products &amp; Pricing'!$A$39:$O$52,15,FALSE)</f>
        <v>0</v>
      </c>
      <c r="AB17" s="120">
        <f>VLOOKUP($A17,'Fertilizer Products &amp; Pricing'!$A$39:$O$52,13,FALSE)</f>
        <v>1</v>
      </c>
      <c r="AC17" s="303">
        <v>0</v>
      </c>
      <c r="AD17" s="122">
        <f>VLOOKUP($A17,'Fertilizer Products &amp; Pricing'!$A$39:$O$52,12,FALSE)</f>
        <v>0</v>
      </c>
      <c r="AE17" s="44">
        <f>(AC17*VLOOKUP(Y17,'Fertilizer Products &amp; Pricing'!$A$39:$O$52,11,FALSE)/AB17)*AA17</f>
        <v>0</v>
      </c>
      <c r="AF17" s="2"/>
      <c r="AG17" s="2"/>
      <c r="AH17" s="2"/>
      <c r="AI17" s="55"/>
    </row>
    <row r="18" spans="1:35" ht="15.75">
      <c r="A18" s="123"/>
      <c r="B18" s="19"/>
      <c r="C18" s="119"/>
      <c r="D18" s="19"/>
      <c r="E18" s="121"/>
      <c r="F18" s="122"/>
      <c r="G18" s="44"/>
      <c r="H18" s="2"/>
      <c r="I18" s="2"/>
      <c r="J18" s="2"/>
      <c r="K18" s="55"/>
      <c r="L18" s="22"/>
      <c r="M18" s="123"/>
      <c r="N18" s="19"/>
      <c r="O18" s="119"/>
      <c r="P18" s="19"/>
      <c r="Q18" s="121"/>
      <c r="R18" s="122"/>
      <c r="S18" s="44"/>
      <c r="T18" s="2"/>
      <c r="U18" s="2"/>
      <c r="V18" s="2"/>
      <c r="W18" s="55"/>
      <c r="Y18" s="123"/>
      <c r="Z18" s="19"/>
      <c r="AA18" s="119"/>
      <c r="AB18" s="19"/>
      <c r="AC18" s="121"/>
      <c r="AD18" s="122"/>
      <c r="AE18" s="44"/>
      <c r="AF18" s="2"/>
      <c r="AG18" s="2"/>
      <c r="AH18" s="2"/>
      <c r="AI18" s="55"/>
    </row>
    <row r="19" spans="1:35" ht="15.75">
      <c r="A19" s="93" t="s">
        <v>350</v>
      </c>
      <c r="B19" s="124"/>
      <c r="C19" s="125"/>
      <c r="D19" s="124"/>
      <c r="E19" s="126"/>
      <c r="F19" s="122"/>
      <c r="G19" s="44"/>
      <c r="H19" s="2"/>
      <c r="I19" s="2"/>
      <c r="J19" s="2"/>
      <c r="K19" s="55"/>
      <c r="L19" s="22"/>
      <c r="M19" s="93" t="s">
        <v>350</v>
      </c>
      <c r="N19" s="124"/>
      <c r="O19" s="125"/>
      <c r="P19" s="124"/>
      <c r="Q19" s="126"/>
      <c r="R19" s="122"/>
      <c r="S19" s="44"/>
      <c r="T19" s="2"/>
      <c r="U19" s="2"/>
      <c r="V19" s="2"/>
      <c r="W19" s="55"/>
      <c r="Y19" s="93" t="s">
        <v>350</v>
      </c>
      <c r="Z19" s="124"/>
      <c r="AA19" s="125"/>
      <c r="AB19" s="124"/>
      <c r="AC19" s="126"/>
      <c r="AD19" s="122"/>
      <c r="AE19" s="44"/>
      <c r="AF19" s="2"/>
      <c r="AG19" s="2"/>
      <c r="AH19" s="2"/>
      <c r="AI19" s="55"/>
    </row>
    <row r="20" spans="1:35" ht="15.75">
      <c r="A20" s="338" t="s">
        <v>13</v>
      </c>
      <c r="B20" s="18" t="str">
        <f>VLOOKUP(A20,'Fertilizer Products &amp; Pricing'!$A$56:$O$64,14,FALSE)</f>
        <v>None</v>
      </c>
      <c r="C20" s="119">
        <f>VLOOKUP(A20,'Fertilizer Products &amp; Pricing'!$A$56:$O$64,15,FALSE)</f>
        <v>0</v>
      </c>
      <c r="D20" s="120">
        <f>VLOOKUP(A20,'Fertilizer Products &amp; Pricing'!$A$56:$O$64,13,FALSE)</f>
        <v>1</v>
      </c>
      <c r="E20" s="303">
        <v>0</v>
      </c>
      <c r="F20" s="122">
        <f>VLOOKUP(A20,'Fertilizer Products &amp; Pricing'!$A$56:$O$64,12,FALSE)</f>
        <v>0</v>
      </c>
      <c r="G20" s="44">
        <f>(E20*VLOOKUP(A20,'Fertilizer Products &amp; Pricing'!$A$56:$O$64,11,FALSE)/D20)*C20</f>
        <v>0</v>
      </c>
      <c r="H20" s="2"/>
      <c r="I20" s="2"/>
      <c r="J20" s="2"/>
      <c r="K20" s="55"/>
      <c r="L20" s="22"/>
      <c r="M20" s="338" t="s">
        <v>13</v>
      </c>
      <c r="N20" s="18" t="str">
        <f>VLOOKUP(M20,'Fertilizer Products &amp; Pricing'!$A$56:$O$64,14,FALSE)</f>
        <v>None</v>
      </c>
      <c r="O20" s="119">
        <f>VLOOKUP(M20,'Fertilizer Products &amp; Pricing'!$A$56:$O$64,15,FALSE)</f>
        <v>0</v>
      </c>
      <c r="P20" s="120">
        <f>VLOOKUP(M20,'Fertilizer Products &amp; Pricing'!$A$56:$O$64,13,FALSE)</f>
        <v>1</v>
      </c>
      <c r="Q20" s="303">
        <v>0</v>
      </c>
      <c r="R20" s="122">
        <f>VLOOKUP(M20,'Fertilizer Products &amp; Pricing'!$A$56:$O$64,12,FALSE)</f>
        <v>0</v>
      </c>
      <c r="S20" s="44">
        <f>(Q20*VLOOKUP(M20,'Fertilizer Products &amp; Pricing'!$A$56:$O$64,11,FALSE)/P20)*O20</f>
        <v>0</v>
      </c>
      <c r="T20" s="2"/>
      <c r="U20" s="2"/>
      <c r="V20" s="2"/>
      <c r="W20" s="55"/>
      <c r="Y20" s="338" t="s">
        <v>13</v>
      </c>
      <c r="Z20" s="18" t="str">
        <f>VLOOKUP(Y20,'Fertilizer Products &amp; Pricing'!$A$56:$O$64,14,FALSE)</f>
        <v>None</v>
      </c>
      <c r="AA20" s="119">
        <f>VLOOKUP(Y20,'Fertilizer Products &amp; Pricing'!$A$56:$O$64,15,FALSE)</f>
        <v>0</v>
      </c>
      <c r="AB20" s="120">
        <f>VLOOKUP(Y20,'Fertilizer Products &amp; Pricing'!$A$56:$O$64,13,FALSE)</f>
        <v>1</v>
      </c>
      <c r="AC20" s="303">
        <v>0</v>
      </c>
      <c r="AD20" s="122">
        <f>VLOOKUP(Y20,'Fertilizer Products &amp; Pricing'!$A$56:$O$64,12,FALSE)</f>
        <v>0</v>
      </c>
      <c r="AE20" s="44">
        <f>(AC20*VLOOKUP(Y20,'Fertilizer Products &amp; Pricing'!$A$56:$O$64,11,FALSE)/AB20)*AA20</f>
        <v>0</v>
      </c>
      <c r="AF20" s="2"/>
      <c r="AG20" s="2"/>
      <c r="AH20" s="2"/>
      <c r="AI20" s="55"/>
    </row>
    <row r="21" spans="1:35" ht="15.75">
      <c r="A21" s="123"/>
      <c r="B21" s="19"/>
      <c r="C21" s="119"/>
      <c r="D21" s="19"/>
      <c r="E21" s="121"/>
      <c r="F21" s="54"/>
      <c r="G21" s="44"/>
      <c r="H21" s="2"/>
      <c r="I21" s="2"/>
      <c r="J21" s="2"/>
      <c r="K21" s="55"/>
      <c r="L21" s="22"/>
      <c r="M21" s="123"/>
      <c r="N21" s="19"/>
      <c r="O21" s="119"/>
      <c r="P21" s="19"/>
      <c r="Q21" s="121"/>
      <c r="R21" s="54"/>
      <c r="S21" s="44"/>
      <c r="T21" s="2"/>
      <c r="U21" s="2"/>
      <c r="V21" s="2"/>
      <c r="W21" s="55"/>
      <c r="Y21" s="123"/>
      <c r="Z21" s="19"/>
      <c r="AA21" s="119"/>
      <c r="AB21" s="19"/>
      <c r="AC21" s="121"/>
      <c r="AD21" s="54"/>
      <c r="AE21" s="44"/>
      <c r="AF21" s="2"/>
      <c r="AG21" s="2"/>
      <c r="AH21" s="2"/>
      <c r="AI21" s="55"/>
    </row>
    <row r="22" spans="1:35" ht="15.75">
      <c r="A22" s="93" t="s">
        <v>351</v>
      </c>
      <c r="B22" s="124"/>
      <c r="C22" s="125"/>
      <c r="D22" s="124"/>
      <c r="E22" s="126"/>
      <c r="F22" s="94"/>
      <c r="G22" s="94"/>
      <c r="H22" s="2"/>
      <c r="I22" s="2"/>
      <c r="J22" s="2"/>
      <c r="K22" s="55"/>
      <c r="L22" s="22"/>
      <c r="M22" s="93" t="s">
        <v>351</v>
      </c>
      <c r="N22" s="124"/>
      <c r="O22" s="125"/>
      <c r="P22" s="124"/>
      <c r="Q22" s="126"/>
      <c r="R22" s="94"/>
      <c r="S22" s="94"/>
      <c r="T22" s="2"/>
      <c r="U22" s="2"/>
      <c r="V22" s="2"/>
      <c r="W22" s="55"/>
      <c r="Y22" s="93" t="s">
        <v>351</v>
      </c>
      <c r="Z22" s="124"/>
      <c r="AA22" s="125"/>
      <c r="AB22" s="124"/>
      <c r="AC22" s="126"/>
      <c r="AD22" s="94"/>
      <c r="AE22" s="94"/>
      <c r="AF22" s="2"/>
      <c r="AG22" s="2"/>
      <c r="AH22" s="2"/>
      <c r="AI22" s="55"/>
    </row>
    <row r="23" spans="1:35" ht="15.75">
      <c r="A23" s="338" t="s">
        <v>13</v>
      </c>
      <c r="B23" s="18" t="str">
        <f>VLOOKUP(A23,'Fertilizer Products &amp; Pricing'!$A$68:$O$77,14,FALSE)</f>
        <v>None</v>
      </c>
      <c r="C23" s="119">
        <f>VLOOKUP(A23,'Fertilizer Products &amp; Pricing'!$A$68:$O$77,15,FALSE)</f>
        <v>0</v>
      </c>
      <c r="D23" s="120">
        <f>VLOOKUP(A23,'Fertilizer Products &amp; Pricing'!$A$68:$O$77,13,FALSE)</f>
        <v>1</v>
      </c>
      <c r="E23" s="303">
        <v>0</v>
      </c>
      <c r="F23" s="122">
        <f>VLOOKUP(A23,'Fertilizer Products &amp; Pricing'!$A$68:$O$77,12,FALSE)</f>
        <v>0</v>
      </c>
      <c r="G23" s="44">
        <f>(E23*VLOOKUP(A23,'Fertilizer Products &amp; Pricing'!$A$68:$O$77,11,FALSE)/D23)*C23</f>
        <v>0</v>
      </c>
      <c r="H23" s="2"/>
      <c r="I23" s="2"/>
      <c r="J23" s="2"/>
      <c r="K23" s="55"/>
      <c r="L23" s="22"/>
      <c r="M23" s="338" t="s">
        <v>13</v>
      </c>
      <c r="N23" s="18" t="str">
        <f>VLOOKUP(M23,'Fertilizer Products &amp; Pricing'!$A$68:$O$77,14,FALSE)</f>
        <v>None</v>
      </c>
      <c r="O23" s="119">
        <f>VLOOKUP(M23,'Fertilizer Products &amp; Pricing'!$A$68:$O$77,15,FALSE)</f>
        <v>0</v>
      </c>
      <c r="P23" s="120">
        <f>VLOOKUP(M23,'Fertilizer Products &amp; Pricing'!$A$68:$O$77,13,FALSE)</f>
        <v>1</v>
      </c>
      <c r="Q23" s="303">
        <v>0</v>
      </c>
      <c r="R23" s="122">
        <f>VLOOKUP(M23,'Fertilizer Products &amp; Pricing'!$A$68:$O$77,12,FALSE)</f>
        <v>0</v>
      </c>
      <c r="S23" s="44">
        <f>(Q23*VLOOKUP(M23,'Fertilizer Products &amp; Pricing'!$A$68:$O$77,11,FALSE)/P23)*O23</f>
        <v>0</v>
      </c>
      <c r="T23" s="2"/>
      <c r="U23" s="2"/>
      <c r="V23" s="2"/>
      <c r="W23" s="55"/>
      <c r="Y23" s="338" t="s">
        <v>13</v>
      </c>
      <c r="Z23" s="18" t="str">
        <f>VLOOKUP(Y23,'Fertilizer Products &amp; Pricing'!$A$68:$O$77,14,FALSE)</f>
        <v>None</v>
      </c>
      <c r="AA23" s="119">
        <f>VLOOKUP(Y23,'Fertilizer Products &amp; Pricing'!$A$68:$O$77,15,FALSE)</f>
        <v>0</v>
      </c>
      <c r="AB23" s="120">
        <f>VLOOKUP(Y23,'Fertilizer Products &amp; Pricing'!$A$68:$O$77,13,FALSE)</f>
        <v>1</v>
      </c>
      <c r="AC23" s="303">
        <v>0</v>
      </c>
      <c r="AD23" s="122">
        <f>VLOOKUP(Y23,'Fertilizer Products &amp; Pricing'!$A$68:$O$77,12,FALSE)</f>
        <v>0</v>
      </c>
      <c r="AE23" s="44">
        <f>(AC23*VLOOKUP(Y23,'Fertilizer Products &amp; Pricing'!$A$68:$O$77,11,FALSE)/AB23)*AA23</f>
        <v>0</v>
      </c>
      <c r="AF23" s="2"/>
      <c r="AG23" s="2"/>
      <c r="AH23" s="2"/>
      <c r="AI23" s="55"/>
    </row>
    <row r="24" spans="1:35" ht="15.75">
      <c r="A24" s="338" t="s">
        <v>13</v>
      </c>
      <c r="B24" s="18" t="str">
        <f>VLOOKUP(A24,'Fertilizer Products &amp; Pricing'!$A$68:$O$77,14,FALSE)</f>
        <v>None</v>
      </c>
      <c r="C24" s="119">
        <f>VLOOKUP(A24,'Fertilizer Products &amp; Pricing'!$A$68:$O$77,15,FALSE)</f>
        <v>0</v>
      </c>
      <c r="D24" s="120">
        <f>VLOOKUP(A24,'Fertilizer Products &amp; Pricing'!$A$68:$O$77,13,FALSE)</f>
        <v>1</v>
      </c>
      <c r="E24" s="303">
        <v>0</v>
      </c>
      <c r="F24" s="122">
        <f>VLOOKUP(A24,'Fertilizer Products &amp; Pricing'!$A$68:$O$77,12,FALSE)</f>
        <v>0</v>
      </c>
      <c r="G24" s="44">
        <f>(E24*VLOOKUP(A24,'Fertilizer Products &amp; Pricing'!$A$68:$O$77,11,FALSE)/D24)*C24</f>
        <v>0</v>
      </c>
      <c r="H24" s="2"/>
      <c r="I24" s="2"/>
      <c r="J24" s="2"/>
      <c r="K24" s="132" t="s">
        <v>363</v>
      </c>
      <c r="L24" s="23"/>
      <c r="M24" s="338" t="s">
        <v>13</v>
      </c>
      <c r="N24" s="18" t="str">
        <f>VLOOKUP(M24,'Fertilizer Products &amp; Pricing'!$A$68:$O$77,14,FALSE)</f>
        <v>None</v>
      </c>
      <c r="O24" s="119">
        <f>VLOOKUP(M24,'Fertilizer Products &amp; Pricing'!$A$68:$O$77,15,FALSE)</f>
        <v>0</v>
      </c>
      <c r="P24" s="120">
        <f>VLOOKUP(M24,'Fertilizer Products &amp; Pricing'!$A$68:$O$77,13,FALSE)</f>
        <v>1</v>
      </c>
      <c r="Q24" s="303">
        <v>0</v>
      </c>
      <c r="R24" s="122">
        <f>VLOOKUP(M24,'Fertilizer Products &amp; Pricing'!$A$68:$O$77,12,FALSE)</f>
        <v>0</v>
      </c>
      <c r="S24" s="44">
        <f>(Q24*VLOOKUP(M24,'Fertilizer Products &amp; Pricing'!$A$68:$O$77,11,FALSE)/P24)*O24</f>
        <v>0</v>
      </c>
      <c r="T24" s="2"/>
      <c r="U24" s="2"/>
      <c r="V24" s="2"/>
      <c r="W24" s="132" t="s">
        <v>363</v>
      </c>
      <c r="Y24" s="338" t="s">
        <v>13</v>
      </c>
      <c r="Z24" s="18" t="str">
        <f>VLOOKUP(Y24,'Fertilizer Products &amp; Pricing'!$A$68:$O$77,14,FALSE)</f>
        <v>None</v>
      </c>
      <c r="AA24" s="119">
        <f>VLOOKUP(Y24,'Fertilizer Products &amp; Pricing'!$A$68:$O$77,15,FALSE)</f>
        <v>0</v>
      </c>
      <c r="AB24" s="120">
        <f>VLOOKUP(Y24,'Fertilizer Products &amp; Pricing'!$A$68:$O$77,13,FALSE)</f>
        <v>1</v>
      </c>
      <c r="AC24" s="303">
        <v>0</v>
      </c>
      <c r="AD24" s="122">
        <f>VLOOKUP(Y24,'Fertilizer Products &amp; Pricing'!$A$68:$O$77,12,FALSE)</f>
        <v>0</v>
      </c>
      <c r="AE24" s="44">
        <f>(AC24*VLOOKUP(Y24,'Fertilizer Products &amp; Pricing'!$A$68:$O$77,11,FALSE)/AB24)*AA24</f>
        <v>0</v>
      </c>
      <c r="AF24" s="2"/>
      <c r="AG24" s="2"/>
      <c r="AH24" s="2"/>
      <c r="AI24" s="132" t="s">
        <v>363</v>
      </c>
    </row>
    <row r="25" spans="1:35" ht="16.5" thickBot="1">
      <c r="A25" s="302" t="s">
        <v>140</v>
      </c>
      <c r="B25" s="105"/>
      <c r="C25" s="105"/>
      <c r="D25" s="105"/>
      <c r="E25" s="301"/>
      <c r="F25" s="105"/>
      <c r="G25" s="127">
        <f>SUM(G6:G24)</f>
        <v>0</v>
      </c>
      <c r="H25" s="2"/>
      <c r="I25" s="2"/>
      <c r="J25" s="2"/>
      <c r="K25" s="132" t="s">
        <v>364</v>
      </c>
      <c r="L25" s="23"/>
      <c r="M25" s="302" t="s">
        <v>140</v>
      </c>
      <c r="N25" s="105"/>
      <c r="O25" s="105"/>
      <c r="P25" s="105"/>
      <c r="Q25" s="301"/>
      <c r="R25" s="105"/>
      <c r="S25" s="127">
        <f>SUM(S6:S24)</f>
        <v>0</v>
      </c>
      <c r="T25" s="2"/>
      <c r="U25" s="2"/>
      <c r="V25" s="2"/>
      <c r="W25" s="132" t="s">
        <v>364</v>
      </c>
      <c r="Y25" s="302" t="s">
        <v>140</v>
      </c>
      <c r="Z25" s="105"/>
      <c r="AA25" s="105"/>
      <c r="AB25" s="105"/>
      <c r="AC25" s="301"/>
      <c r="AD25" s="105"/>
      <c r="AE25" s="127">
        <f>SUM(AE6:AE24)</f>
        <v>0</v>
      </c>
      <c r="AF25" s="2"/>
      <c r="AG25" s="2"/>
      <c r="AH25" s="2"/>
      <c r="AI25" s="132" t="s">
        <v>364</v>
      </c>
    </row>
    <row r="26" spans="1:35" ht="16.5" thickTop="1">
      <c r="A26" s="82"/>
      <c r="B26" s="110"/>
      <c r="C26" s="110"/>
      <c r="D26" s="110"/>
      <c r="E26" s="110"/>
      <c r="F26" s="110"/>
      <c r="G26" s="108"/>
      <c r="H26" s="2"/>
      <c r="I26" s="2"/>
      <c r="J26" s="2"/>
      <c r="K26" s="751" t="s">
        <v>362</v>
      </c>
      <c r="L26" s="837"/>
      <c r="M26" s="82"/>
      <c r="N26" s="110"/>
      <c r="O26" s="110"/>
      <c r="P26" s="110"/>
      <c r="Q26" s="110"/>
      <c r="R26" s="110"/>
      <c r="S26" s="108"/>
      <c r="T26" s="2"/>
      <c r="U26" s="2"/>
      <c r="V26" s="2"/>
      <c r="W26" s="751" t="s">
        <v>362</v>
      </c>
      <c r="Y26" s="82"/>
      <c r="Z26" s="110"/>
      <c r="AA26" s="110"/>
      <c r="AB26" s="110"/>
      <c r="AC26" s="110"/>
      <c r="AD26" s="110"/>
      <c r="AE26" s="108"/>
      <c r="AF26" s="2"/>
      <c r="AG26" s="2"/>
      <c r="AH26" s="2"/>
      <c r="AI26" s="751" t="s">
        <v>362</v>
      </c>
    </row>
    <row r="27" spans="1:35" ht="16.5" thickBot="1">
      <c r="A27" s="25"/>
      <c r="B27" s="2"/>
      <c r="C27" s="2"/>
      <c r="D27" s="2"/>
      <c r="E27" s="2"/>
      <c r="F27" s="2"/>
      <c r="G27" s="2"/>
      <c r="H27" s="2"/>
      <c r="I27" s="2"/>
      <c r="J27" s="2"/>
      <c r="K27" s="836"/>
      <c r="L27" s="837"/>
      <c r="M27" s="25"/>
      <c r="N27" s="2"/>
      <c r="O27" s="2"/>
      <c r="P27" s="2"/>
      <c r="Q27" s="2"/>
      <c r="R27" s="2"/>
      <c r="S27" s="2"/>
      <c r="T27" s="2"/>
      <c r="U27" s="2"/>
      <c r="V27" s="2"/>
      <c r="W27" s="836"/>
      <c r="X27" s="837"/>
      <c r="Y27" s="130"/>
      <c r="Z27" s="2"/>
      <c r="AA27" s="2"/>
      <c r="AB27" s="2"/>
      <c r="AC27" s="2"/>
      <c r="AD27" s="2"/>
      <c r="AE27" s="2"/>
      <c r="AF27" s="2"/>
      <c r="AG27" s="2"/>
      <c r="AH27" s="2"/>
      <c r="AI27" s="836"/>
    </row>
    <row r="28" spans="1:35" ht="16.5" thickBot="1">
      <c r="A28" s="830" t="s">
        <v>689</v>
      </c>
      <c r="B28" s="831"/>
      <c r="C28" s="831"/>
      <c r="D28" s="831"/>
      <c r="E28" s="831"/>
      <c r="F28" s="831"/>
      <c r="G28" s="831"/>
      <c r="H28" s="831"/>
      <c r="I28" s="831"/>
      <c r="J28" s="831"/>
      <c r="K28" s="832"/>
      <c r="L28" s="22"/>
      <c r="M28" s="830" t="s">
        <v>689</v>
      </c>
      <c r="N28" s="831"/>
      <c r="O28" s="831"/>
      <c r="P28" s="831"/>
      <c r="Q28" s="831"/>
      <c r="R28" s="831"/>
      <c r="S28" s="831"/>
      <c r="T28" s="831"/>
      <c r="U28" s="831"/>
      <c r="V28" s="831"/>
      <c r="W28" s="832"/>
      <c r="X28" s="837"/>
      <c r="Y28" s="830" t="s">
        <v>689</v>
      </c>
      <c r="Z28" s="831"/>
      <c r="AA28" s="831"/>
      <c r="AB28" s="831"/>
      <c r="AC28" s="831"/>
      <c r="AD28" s="831"/>
      <c r="AE28" s="831"/>
      <c r="AF28" s="831"/>
      <c r="AG28" s="831"/>
      <c r="AH28" s="831"/>
      <c r="AI28" s="832"/>
    </row>
    <row r="29" spans="1:35" ht="31.5">
      <c r="A29" s="33" t="s">
        <v>138</v>
      </c>
      <c r="B29" s="34" t="s">
        <v>122</v>
      </c>
      <c r="C29" s="35" t="s">
        <v>123</v>
      </c>
      <c r="D29" s="36" t="s">
        <v>12</v>
      </c>
      <c r="E29" s="36" t="s">
        <v>124</v>
      </c>
      <c r="F29" s="34" t="s">
        <v>11</v>
      </c>
      <c r="G29" s="36" t="s">
        <v>125</v>
      </c>
      <c r="H29" s="2"/>
      <c r="I29" s="2"/>
      <c r="J29" s="2"/>
      <c r="K29" s="55"/>
      <c r="L29" s="2"/>
      <c r="M29" s="33" t="s">
        <v>138</v>
      </c>
      <c r="N29" s="34" t="s">
        <v>122</v>
      </c>
      <c r="O29" s="35" t="s">
        <v>123</v>
      </c>
      <c r="P29" s="36" t="s">
        <v>12</v>
      </c>
      <c r="Q29" s="36" t="s">
        <v>124</v>
      </c>
      <c r="R29" s="34" t="s">
        <v>11</v>
      </c>
      <c r="S29" s="36" t="s">
        <v>125</v>
      </c>
      <c r="T29" s="2"/>
      <c r="U29" s="2"/>
      <c r="V29" s="2"/>
      <c r="W29" s="55"/>
      <c r="X29"/>
      <c r="Y29" s="33" t="s">
        <v>138</v>
      </c>
      <c r="Z29" s="34" t="s">
        <v>122</v>
      </c>
      <c r="AA29" s="35" t="s">
        <v>123</v>
      </c>
      <c r="AB29" s="36" t="s">
        <v>12</v>
      </c>
      <c r="AC29" s="36" t="s">
        <v>124</v>
      </c>
      <c r="AD29" s="34" t="s">
        <v>11</v>
      </c>
      <c r="AE29" s="36" t="s">
        <v>125</v>
      </c>
      <c r="AF29" s="2"/>
      <c r="AG29" s="2"/>
      <c r="AH29" s="2"/>
      <c r="AI29" s="55"/>
    </row>
    <row r="30" spans="1:35" ht="15.75">
      <c r="A30" s="93" t="s">
        <v>348</v>
      </c>
      <c r="B30" s="54"/>
      <c r="C30" s="96"/>
      <c r="D30" s="42" t="s">
        <v>143</v>
      </c>
      <c r="E30" s="51" t="s">
        <v>143</v>
      </c>
      <c r="F30" s="47"/>
      <c r="G30" s="44"/>
      <c r="H30" s="2"/>
      <c r="I30" s="657" t="s">
        <v>112</v>
      </c>
      <c r="J30" s="657" t="s">
        <v>113</v>
      </c>
      <c r="K30" s="658" t="s">
        <v>114</v>
      </c>
      <c r="L30" s="2"/>
      <c r="M30" s="93" t="s">
        <v>348</v>
      </c>
      <c r="N30" s="54"/>
      <c r="O30" s="96"/>
      <c r="P30" s="96" t="s">
        <v>143</v>
      </c>
      <c r="Q30" s="95" t="s">
        <v>143</v>
      </c>
      <c r="R30" s="47"/>
      <c r="S30" s="44"/>
      <c r="T30" s="2"/>
      <c r="U30" s="657" t="s">
        <v>112</v>
      </c>
      <c r="V30" s="657" t="s">
        <v>113</v>
      </c>
      <c r="W30" s="658" t="s">
        <v>114</v>
      </c>
      <c r="X30" s="60"/>
      <c r="Y30" s="93" t="s">
        <v>348</v>
      </c>
      <c r="Z30" s="54"/>
      <c r="AA30" s="96"/>
      <c r="AB30" s="96" t="s">
        <v>143</v>
      </c>
      <c r="AC30" s="95" t="s">
        <v>143</v>
      </c>
      <c r="AD30" s="47"/>
      <c r="AE30" s="44"/>
      <c r="AF30" s="2"/>
      <c r="AG30" s="657" t="s">
        <v>112</v>
      </c>
      <c r="AH30" s="657" t="s">
        <v>113</v>
      </c>
      <c r="AI30" s="658" t="s">
        <v>114</v>
      </c>
    </row>
    <row r="31" spans="1:35" ht="15.75">
      <c r="A31" s="337" t="s">
        <v>13</v>
      </c>
      <c r="B31" s="18" t="str">
        <f>VLOOKUP(A31,'Fertilizer Products &amp; Pricing'!$A$4:$O$35,14,FALSE)</f>
        <v>None</v>
      </c>
      <c r="C31" s="119">
        <f>VLOOKUP(A31,'Fertilizer Products &amp; Pricing'!$A$4:$O$35,15,FALSE)</f>
        <v>0</v>
      </c>
      <c r="D31" s="120">
        <f>VLOOKUP(A31,'Fertilizer Products &amp; Pricing'!$A$4:$O$35,13,FALSE)</f>
        <v>1</v>
      </c>
      <c r="E31" s="303">
        <v>0</v>
      </c>
      <c r="F31" s="122">
        <f>VLOOKUP(A31,'Fertilizer Products &amp; Pricing'!$A$4:$O$35,12,FALSE)</f>
        <v>0</v>
      </c>
      <c r="G31" s="122">
        <f>(E31*VLOOKUP(A31,'Fertilizer Products &amp; Pricing'!$A$4:$O$35,11,FALSE)/D31)*C31</f>
        <v>0</v>
      </c>
      <c r="H31" s="2"/>
      <c r="I31" s="61">
        <f>VLOOKUP(A31,'Fertilizer Products &amp; Pricing'!$A$4:$O$35,2,FALSE)*E31+VLOOKUP(A32,'Fertilizer Products &amp; Pricing'!$A$4:$O$35,2,FALSE)*E32+VLOOKUP(A33,'Fertilizer Products &amp; Pricing'!$A$4:$O$35,2,FALSE)*E33+VLOOKUP(A34,'Fertilizer Products &amp; Pricing'!$A$4:$O$35,2,FALSE)*E34+VLOOKUP(A35,'Fertilizer Products &amp; Pricing'!$A$4:$O$35,2,FALSE)*E35+VLOOKUP(A36,'Fertilizer Products &amp; Pricing'!$A$4:$O$35,2,FALSE)*E36+VLOOKUP(A39,'Fertilizer Products &amp; Pricing'!$A$39:$O$52,2,FALSE)*E39+VLOOKUP(A40,'Fertilizer Products &amp; Pricing'!$A$39:$O$52,2,FALSE)*E40+VLOOKUP(A41,'Fertilizer Products &amp; Pricing'!$A$39:$O$52,2,FALSE)*E41+VLOOKUP(A42,'Fertilizer Products &amp; Pricing'!$A$39:$O$52,2,FALSE)*E42</f>
        <v>0</v>
      </c>
      <c r="J31" s="61">
        <f>VLOOKUP(A31,'Fertilizer Products &amp; Pricing'!$A$4:$O$35,3,FALSE)*E31+VLOOKUP(A32,'Fertilizer Products &amp; Pricing'!$A$4:$O$35,3,FALSE)*E32+VLOOKUP(A33,'Fertilizer Products &amp; Pricing'!$A$4:$O$35,3,FALSE)*E33+VLOOKUP(A34,'Fertilizer Products &amp; Pricing'!$A$4:$O$35,3,FALSE)*E34+VLOOKUP(A35,'Fertilizer Products &amp; Pricing'!$A$4:$O$35,3,FALSE)*E35+VLOOKUP(A36,'Fertilizer Products &amp; Pricing'!$A$4:$O$35,3,FALSE)*E36+VLOOKUP(A39,'Fertilizer Products &amp; Pricing'!$A$39:$O$52,3,FALSE)*E39+VLOOKUP(A40,'Fertilizer Products &amp; Pricing'!$A$39:$O$52,3,FALSE)*E40+VLOOKUP(A41,'Fertilizer Products &amp; Pricing'!$A$39:$O$52,3,FALSE)*E41+VLOOKUP(A42,'Fertilizer Products &amp; Pricing'!$A$39:$O$52,3,FALSE)*E42</f>
        <v>0</v>
      </c>
      <c r="K31" s="62">
        <f>VLOOKUP(A31,'Fertilizer Products &amp; Pricing'!$A$4:$O$35,4,FALSE)*E31+VLOOKUP(A32,'Fertilizer Products &amp; Pricing'!$A$4:$O$35,4,FALSE)*E32+VLOOKUP(A33,'Fertilizer Products &amp; Pricing'!$A$4:$O$35,4,FALSE)*E33+VLOOKUP(A34,'Fertilizer Products &amp; Pricing'!$A$4:$O$35,4,FALSE)*E34+VLOOKUP(A35,'Fertilizer Products &amp; Pricing'!$A$4:$O$35,4,FALSE)*E35+VLOOKUP(A36,'Fertilizer Products &amp; Pricing'!$A$4:$O$35,4,FALSE)*E36+VLOOKUP(A39,'Fertilizer Products &amp; Pricing'!$A$39:$O$52,4,FALSE)*E39+VLOOKUP(A40,'Fertilizer Products &amp; Pricing'!$A$39:$O$52,4,FALSE)*E40+VLOOKUP(A41,'Fertilizer Products &amp; Pricing'!$A$39:$O$52,4,FALSE)*E41+VLOOKUP(A42,'Fertilizer Products &amp; Pricing'!$A$39:$O$52,4,FALSE)*E42</f>
        <v>0</v>
      </c>
      <c r="L31" s="22"/>
      <c r="M31" s="337" t="s">
        <v>13</v>
      </c>
      <c r="N31" s="18" t="str">
        <f>VLOOKUP(M31,'Fertilizer Products &amp; Pricing'!$A$4:$O$35,14,FALSE)</f>
        <v>None</v>
      </c>
      <c r="O31" s="119">
        <f>VLOOKUP(M31,'Fertilizer Products &amp; Pricing'!$A$4:$O$35,15,FALSE)</f>
        <v>0</v>
      </c>
      <c r="P31" s="120">
        <f>VLOOKUP(M31,'Fertilizer Products &amp; Pricing'!$A$4:$O$35,13,FALSE)</f>
        <v>1</v>
      </c>
      <c r="Q31" s="303">
        <v>0</v>
      </c>
      <c r="R31" s="122">
        <f>VLOOKUP(M31,'Fertilizer Products &amp; Pricing'!$A$4:$O$35,12,FALSE)</f>
        <v>0</v>
      </c>
      <c r="S31" s="122">
        <f>(Q31*VLOOKUP(M31,'Fertilizer Products &amp; Pricing'!$A$4:$O$35,11,FALSE)/P31)*O31</f>
        <v>0</v>
      </c>
      <c r="T31" s="2"/>
      <c r="U31" s="61">
        <f>VLOOKUP(M31,'Fertilizer Products &amp; Pricing'!$A$4:$O$35,2,FALSE)*Q31+VLOOKUP(M32,'Fertilizer Products &amp; Pricing'!$A$4:$O$35,2,FALSE)*Q32+VLOOKUP(M33,'Fertilizer Products &amp; Pricing'!$A$4:$O$35,2,FALSE)*Q33+VLOOKUP(M34,'Fertilizer Products &amp; Pricing'!$A$4:$O$35,2,FALSE)*Q34+VLOOKUP(M35,'Fertilizer Products &amp; Pricing'!$A$4:$O$35,2,FALSE)*Q35+VLOOKUP(M36,'Fertilizer Products &amp; Pricing'!$A$4:$O$35,2,FALSE)*Q36+VLOOKUP(M39,'Fertilizer Products &amp; Pricing'!$A$39:$O$52,2,FALSE)*Q39+VLOOKUP(M40,'Fertilizer Products &amp; Pricing'!$A$39:$O$52,2,FALSE)*Q40+VLOOKUP(M41,'Fertilizer Products &amp; Pricing'!$A$39:$O$52,2,FALSE)*Q41+VLOOKUP(M42,'Fertilizer Products &amp; Pricing'!$A$39:$O$52,2,FALSE)*Q42</f>
        <v>0</v>
      </c>
      <c r="V31" s="61">
        <f>VLOOKUP(M31,'Fertilizer Products &amp; Pricing'!$A$4:$O$35,3,FALSE)*Q31+VLOOKUP(M32,'Fertilizer Products &amp; Pricing'!$A$4:$O$35,3,FALSE)*Q32+VLOOKUP(M33,'Fertilizer Products &amp; Pricing'!$A$4:$O$35,3,FALSE)*Q33+VLOOKUP(M34,'Fertilizer Products &amp; Pricing'!$A$4:$O$35,3,FALSE)*Q34+VLOOKUP(M35,'Fertilizer Products &amp; Pricing'!$A$4:$O$35,3,FALSE)*Q35+VLOOKUP(M36,'Fertilizer Products &amp; Pricing'!$A$4:$O$35,3,FALSE)*Q36+VLOOKUP(M39,'Fertilizer Products &amp; Pricing'!$A$39:$O$52,3,FALSE)*Q39+VLOOKUP(M40,'Fertilizer Products &amp; Pricing'!$A$39:$O$52,3,FALSE)*Q40+VLOOKUP(M41,'Fertilizer Products &amp; Pricing'!$A$39:$O$52,3,FALSE)*Q41+VLOOKUP(M42,'Fertilizer Products &amp; Pricing'!$A$39:$O$52,3,FALSE)*Q42</f>
        <v>0</v>
      </c>
      <c r="W31" s="62">
        <f>VLOOKUP(M31,'Fertilizer Products &amp; Pricing'!$A$4:$O$35,4,FALSE)*Q31+VLOOKUP(M32,'Fertilizer Products &amp; Pricing'!$A$4:$O$35,4,FALSE)*Q32+VLOOKUP(M33,'Fertilizer Products &amp; Pricing'!$A$4:$O$35,4,FALSE)*Q33+VLOOKUP(M34,'Fertilizer Products &amp; Pricing'!$A$4:$O$35,4,FALSE)*Q34+VLOOKUP(M35,'Fertilizer Products &amp; Pricing'!$A$4:$O$35,4,FALSE)*Q35+VLOOKUP(M36,'Fertilizer Products &amp; Pricing'!$A$4:$O$35,4,FALSE)*Q36+VLOOKUP(M39,'Fertilizer Products &amp; Pricing'!$A$39:$O$52,4,FALSE)*Q39+VLOOKUP(M40,'Fertilizer Products &amp; Pricing'!$A$39:$O$52,4,FALSE)*Q40+VLOOKUP(M41,'Fertilizer Products &amp; Pricing'!$A$39:$O$52,4,FALSE)*Q41+VLOOKUP(M42,'Fertilizer Products &amp; Pricing'!$A$39:$O$52,4,FALSE)*Q42</f>
        <v>0</v>
      </c>
      <c r="X31" s="21"/>
      <c r="Y31" s="337" t="s">
        <v>13</v>
      </c>
      <c r="Z31" s="18" t="str">
        <f>VLOOKUP(Y31,'Fertilizer Products &amp; Pricing'!$A$4:$O$35,14,FALSE)</f>
        <v>None</v>
      </c>
      <c r="AA31" s="119">
        <f>VLOOKUP(Y31,'Fertilizer Products &amp; Pricing'!$A$4:$O$35,15,FALSE)</f>
        <v>0</v>
      </c>
      <c r="AB31" s="120">
        <f>VLOOKUP(Y31,'Fertilizer Products &amp; Pricing'!$A$4:$O$35,13,FALSE)</f>
        <v>1</v>
      </c>
      <c r="AC31" s="303">
        <v>0</v>
      </c>
      <c r="AD31" s="122">
        <f>VLOOKUP(Y31,'Fertilizer Products &amp; Pricing'!$A$4:$O$35,12,FALSE)</f>
        <v>0</v>
      </c>
      <c r="AE31" s="122">
        <f>(AC31*VLOOKUP(Y31,'Fertilizer Products &amp; Pricing'!$A$4:$O$35,11,FALSE)/AB31)*AA31</f>
        <v>0</v>
      </c>
      <c r="AF31" s="2"/>
      <c r="AG31" s="61">
        <f>VLOOKUP(Y31,'Fertilizer Products &amp; Pricing'!$A$4:$O$35,2,FALSE)*AC31+VLOOKUP(Y32,'Fertilizer Products &amp; Pricing'!$A$4:$O$35,2,FALSE)*AC32+VLOOKUP(Y33,'Fertilizer Products &amp; Pricing'!$A$4:$O$35,2,FALSE)*AC33+VLOOKUP(Y34,'Fertilizer Products &amp; Pricing'!$A$4:$O$35,2,FALSE)*AC34+VLOOKUP(Y35,'Fertilizer Products &amp; Pricing'!$A$4:$O$35,2,FALSE)*AC35+VLOOKUP(Y36,'Fertilizer Products &amp; Pricing'!$A$4:$O$35,2,FALSE)*AC36+VLOOKUP(Y39,'Fertilizer Products &amp; Pricing'!$A$39:$O$52,2,FALSE)*AC39+VLOOKUP(Y40,'Fertilizer Products &amp; Pricing'!$A$39:$O$52,2,FALSE)*AC40+VLOOKUP(Y41,'Fertilizer Products &amp; Pricing'!$A$39:$O$52,2,FALSE)*AC41+VLOOKUP(Y42,'Fertilizer Products &amp; Pricing'!$A$39:$O$52,2,FALSE)*AC42</f>
        <v>0</v>
      </c>
      <c r="AH31" s="61">
        <f>VLOOKUP(Y31,'Fertilizer Products &amp; Pricing'!$A$4:$O$35,3,FALSE)*AC31+VLOOKUP(Y32,'Fertilizer Products &amp; Pricing'!$A$4:$O$35,3,FALSE)*AC32+VLOOKUP(Y33,'Fertilizer Products &amp; Pricing'!$A$4:$O$35,3,FALSE)*AC33+VLOOKUP(Y34,'Fertilizer Products &amp; Pricing'!$A$4:$O$35,3,FALSE)*AC34+VLOOKUP(Y35,'Fertilizer Products &amp; Pricing'!$A$4:$O$35,3,FALSE)*AC35+VLOOKUP(Y36,'Fertilizer Products &amp; Pricing'!$A$4:$O$35,3,FALSE)*AC36+VLOOKUP(Y39,'Fertilizer Products &amp; Pricing'!$A$39:$O$52,3,FALSE)*AC39+VLOOKUP(Y40,'Fertilizer Products &amp; Pricing'!$A$39:$O$52,3,FALSE)*AC40+VLOOKUP(Y41,'Fertilizer Products &amp; Pricing'!$A$39:$O$52,3,FALSE)*AC41+VLOOKUP(Y42,'Fertilizer Products &amp; Pricing'!$A$39:$O$52,3,FALSE)*AC42</f>
        <v>0</v>
      </c>
      <c r="AI31" s="62">
        <f>VLOOKUP(Y31,'Fertilizer Products &amp; Pricing'!$A$4:$O$35,4,FALSE)*AC31+VLOOKUP(Y32,'Fertilizer Products &amp; Pricing'!$A$4:$O$35,4,FALSE)*AC32+VLOOKUP(Y33,'Fertilizer Products &amp; Pricing'!$A$4:$O$35,4,FALSE)*AC33+VLOOKUP(Y34,'Fertilizer Products &amp; Pricing'!$A$4:$O$35,4,FALSE)*AC34+VLOOKUP(Y35,'Fertilizer Products &amp; Pricing'!$A$4:$O$35,4,FALSE)*AC35+VLOOKUP(Y36,'Fertilizer Products &amp; Pricing'!$A$4:$O$35,4,FALSE)*AC36+VLOOKUP(Y39,'Fertilizer Products &amp; Pricing'!$A$39:$O$52,4,FALSE)*AC39+VLOOKUP(Y40,'Fertilizer Products &amp; Pricing'!$A$39:$O$52,4,FALSE)*AC40+VLOOKUP(Y41,'Fertilizer Products &amp; Pricing'!$A$39:$O$52,4,FALSE)*AC41+VLOOKUP(Y42,'Fertilizer Products &amp; Pricing'!$A$39:$O$52,4,FALSE)*AC42</f>
        <v>0</v>
      </c>
    </row>
    <row r="32" spans="1:35" ht="15.75">
      <c r="A32" s="337" t="s">
        <v>13</v>
      </c>
      <c r="B32" s="18" t="str">
        <f>VLOOKUP(A32,'Fertilizer Products &amp; Pricing'!$A$4:$O$35,14,FALSE)</f>
        <v>None</v>
      </c>
      <c r="C32" s="119">
        <f>VLOOKUP(A32,'Fertilizer Products &amp; Pricing'!$A$4:$O$35,15,FALSE)</f>
        <v>0</v>
      </c>
      <c r="D32" s="120">
        <f>VLOOKUP(A32,'Fertilizer Products &amp; Pricing'!$A$4:$O$35,13,FALSE)</f>
        <v>1</v>
      </c>
      <c r="E32" s="303">
        <v>0</v>
      </c>
      <c r="F32" s="122">
        <f>VLOOKUP(A32,'Fertilizer Products &amp; Pricing'!$A$4:$O$35,12,FALSE)</f>
        <v>0</v>
      </c>
      <c r="G32" s="122">
        <f>(E32*VLOOKUP(A32,'Fertilizer Products &amp; Pricing'!$A$4:$O$35,11,FALSE)/D32)*C32</f>
        <v>0</v>
      </c>
      <c r="H32" s="2"/>
      <c r="I32" s="63"/>
      <c r="J32" s="63"/>
      <c r="K32" s="64"/>
      <c r="L32" s="22"/>
      <c r="M32" s="337" t="s">
        <v>13</v>
      </c>
      <c r="N32" s="18" t="str">
        <f>VLOOKUP(M32,'Fertilizer Products &amp; Pricing'!$A$4:$O$35,14,FALSE)</f>
        <v>None</v>
      </c>
      <c r="O32" s="119">
        <f>VLOOKUP(M32,'Fertilizer Products &amp; Pricing'!$A$4:$O$35,15,FALSE)</f>
        <v>0</v>
      </c>
      <c r="P32" s="120">
        <f>VLOOKUP(M32,'Fertilizer Products &amp; Pricing'!$A$4:$O$35,13,FALSE)</f>
        <v>1</v>
      </c>
      <c r="Q32" s="303">
        <v>0</v>
      </c>
      <c r="R32" s="122">
        <f>VLOOKUP(M32,'Fertilizer Products &amp; Pricing'!$A$4:$O$35,12,FALSE)</f>
        <v>0</v>
      </c>
      <c r="S32" s="122">
        <f>(Q32*VLOOKUP(M32,'Fertilizer Products &amp; Pricing'!$A$4:$O$35,11,FALSE)/P32)*O32</f>
        <v>0</v>
      </c>
      <c r="T32" s="2"/>
      <c r="U32" s="63"/>
      <c r="V32" s="63"/>
      <c r="W32" s="64"/>
      <c r="X32" s="58"/>
      <c r="Y32" s="337" t="s">
        <v>13</v>
      </c>
      <c r="Z32" s="18" t="str">
        <f>VLOOKUP(Y32,'Fertilizer Products &amp; Pricing'!$A$4:$O$35,14,FALSE)</f>
        <v>None</v>
      </c>
      <c r="AA32" s="119">
        <f>VLOOKUP(Y32,'Fertilizer Products &amp; Pricing'!$A$4:$O$35,15,FALSE)</f>
        <v>0</v>
      </c>
      <c r="AB32" s="120">
        <f>VLOOKUP(Y32,'Fertilizer Products &amp; Pricing'!$A$4:$O$35,13,FALSE)</f>
        <v>1</v>
      </c>
      <c r="AC32" s="303">
        <v>0</v>
      </c>
      <c r="AD32" s="122">
        <f>VLOOKUP(Y32,'Fertilizer Products &amp; Pricing'!$A$4:$O$35,12,FALSE)</f>
        <v>0</v>
      </c>
      <c r="AE32" s="122">
        <f>(AC32*VLOOKUP(Y32,'Fertilizer Products &amp; Pricing'!$A$4:$O$35,11,FALSE)/AB32)*AA32</f>
        <v>0</v>
      </c>
      <c r="AF32" s="2"/>
      <c r="AG32" s="63"/>
      <c r="AH32" s="63"/>
      <c r="AI32" s="64"/>
    </row>
    <row r="33" spans="1:35" ht="15.75">
      <c r="A33" s="337" t="s">
        <v>13</v>
      </c>
      <c r="B33" s="18" t="str">
        <f>VLOOKUP(A33,'Fertilizer Products &amp; Pricing'!$A$4:$O$35,14,FALSE)</f>
        <v>None</v>
      </c>
      <c r="C33" s="119">
        <f>VLOOKUP(A33,'Fertilizer Products &amp; Pricing'!$A$4:$O$35,15,FALSE)</f>
        <v>0</v>
      </c>
      <c r="D33" s="120">
        <f>VLOOKUP(A33,'Fertilizer Products &amp; Pricing'!$A$4:$O$35,13,FALSE)</f>
        <v>1</v>
      </c>
      <c r="E33" s="303">
        <v>0</v>
      </c>
      <c r="F33" s="122">
        <f>VLOOKUP(A33,'Fertilizer Products &amp; Pricing'!$A$4:$O$35,12,FALSE)</f>
        <v>0</v>
      </c>
      <c r="G33" s="122">
        <f>(E33*VLOOKUP(A33,'Fertilizer Products &amp; Pricing'!$A$4:$O$35,11,FALSE)/D33)*C33</f>
        <v>0</v>
      </c>
      <c r="H33" s="2"/>
      <c r="I33" s="657" t="s">
        <v>115</v>
      </c>
      <c r="J33" s="657" t="s">
        <v>116</v>
      </c>
      <c r="K33" s="658" t="s">
        <v>117</v>
      </c>
      <c r="L33" s="22"/>
      <c r="M33" s="337" t="s">
        <v>13</v>
      </c>
      <c r="N33" s="18" t="str">
        <f>VLOOKUP(M33,'Fertilizer Products &amp; Pricing'!$A$4:$O$35,14,FALSE)</f>
        <v>None</v>
      </c>
      <c r="O33" s="119">
        <f>VLOOKUP(M33,'Fertilizer Products &amp; Pricing'!$A$4:$O$35,15,FALSE)</f>
        <v>0</v>
      </c>
      <c r="P33" s="120">
        <f>VLOOKUP(M33,'Fertilizer Products &amp; Pricing'!$A$4:$O$35,13,FALSE)</f>
        <v>1</v>
      </c>
      <c r="Q33" s="303">
        <v>0</v>
      </c>
      <c r="R33" s="122">
        <f>VLOOKUP(M33,'Fertilizer Products &amp; Pricing'!$A$4:$O$35,12,FALSE)</f>
        <v>0</v>
      </c>
      <c r="S33" s="122">
        <f>(Q33*VLOOKUP(M33,'Fertilizer Products &amp; Pricing'!$A$4:$O$35,11,FALSE)/P33)*O33</f>
        <v>0</v>
      </c>
      <c r="T33" s="2"/>
      <c r="U33" s="657" t="s">
        <v>115</v>
      </c>
      <c r="V33" s="657" t="s">
        <v>116</v>
      </c>
      <c r="W33" s="658" t="s">
        <v>117</v>
      </c>
      <c r="X33" s="57"/>
      <c r="Y33" s="337" t="s">
        <v>13</v>
      </c>
      <c r="Z33" s="18" t="str">
        <f>VLOOKUP(Y33,'Fertilizer Products &amp; Pricing'!$A$4:$O$35,14,FALSE)</f>
        <v>None</v>
      </c>
      <c r="AA33" s="119">
        <f>VLOOKUP(Y33,'Fertilizer Products &amp; Pricing'!$A$4:$O$35,15,FALSE)</f>
        <v>0</v>
      </c>
      <c r="AB33" s="120">
        <f>VLOOKUP(Y33,'Fertilizer Products &amp; Pricing'!$A$4:$O$35,13,FALSE)</f>
        <v>1</v>
      </c>
      <c r="AC33" s="303">
        <v>0</v>
      </c>
      <c r="AD33" s="122">
        <f>VLOOKUP(Y33,'Fertilizer Products &amp; Pricing'!$A$4:$O$35,12,FALSE)</f>
        <v>0</v>
      </c>
      <c r="AE33" s="122">
        <f>(AC33*VLOOKUP(Y33,'Fertilizer Products &amp; Pricing'!$A$4:$O$35,11,FALSE)/AB33)*AA33</f>
        <v>0</v>
      </c>
      <c r="AF33" s="2"/>
      <c r="AG33" s="657" t="s">
        <v>115</v>
      </c>
      <c r="AH33" s="657" t="s">
        <v>116</v>
      </c>
      <c r="AI33" s="658" t="s">
        <v>117</v>
      </c>
    </row>
    <row r="34" spans="1:35" ht="15.75">
      <c r="A34" s="337" t="s">
        <v>13</v>
      </c>
      <c r="B34" s="18" t="str">
        <f>VLOOKUP(A34,'Fertilizer Products &amp; Pricing'!$A$4:$O$35,14,FALSE)</f>
        <v>None</v>
      </c>
      <c r="C34" s="119">
        <f>VLOOKUP(A34,'Fertilizer Products &amp; Pricing'!$A$4:$O$35,15,FALSE)</f>
        <v>0</v>
      </c>
      <c r="D34" s="120">
        <f>VLOOKUP(A34,'Fertilizer Products &amp; Pricing'!$A$4:$O$35,13,FALSE)</f>
        <v>1</v>
      </c>
      <c r="E34" s="303">
        <v>0</v>
      </c>
      <c r="F34" s="122">
        <f>VLOOKUP(A34,'Fertilizer Products &amp; Pricing'!$A$4:$O$35,12,FALSE)</f>
        <v>0</v>
      </c>
      <c r="G34" s="122">
        <f>(E34*VLOOKUP(A34,'Fertilizer Products &amp; Pricing'!$A$4:$O$35,11,FALSE)/D34)*C34</f>
        <v>0</v>
      </c>
      <c r="H34" s="2"/>
      <c r="I34" s="61">
        <f>VLOOKUP(A31,'Fertilizer Products &amp; Pricing'!$A$4:$O$35,5,FALSE)*E31+VLOOKUP(A32,'Fertilizer Products &amp; Pricing'!$A$4:$O$35,5,FALSE)*E32+VLOOKUP(A33,'Fertilizer Products &amp; Pricing'!$A$4:$O$35,5,FALSE)*E33+VLOOKUP(A34,'Fertilizer Products &amp; Pricing'!$A$4:$O$35,5,FALSE)*E34+VLOOKUP(A35,'Fertilizer Products &amp; Pricing'!$A$4:$O$35,5,FALSE)*E35+VLOOKUP(A36,'Fertilizer Products &amp; Pricing'!$A$4:$O$35,5,FALSE)*E36+VLOOKUP(A39,'Fertilizer Products &amp; Pricing'!$A$39:$O$52,5,FALSE)*E39+VLOOKUP(A40,'Fertilizer Products &amp; Pricing'!$A$39:$O$52,5,FALSE)*E40+VLOOKUP(A41,'Fertilizer Products &amp; Pricing'!$A$39:$O$52,5,FALSE)*E41+VLOOKUP(A42,'Fertilizer Products &amp; Pricing'!$A$39:$O$52,5,FALSE)*E42</f>
        <v>0</v>
      </c>
      <c r="J34" s="61">
        <f>VLOOKUP(A31,'Fertilizer Products &amp; Pricing'!$A$4:$O$35,7,FALSE)*E31+VLOOKUP(A32,'Fertilizer Products &amp; Pricing'!$A$4:$O$35,7,FALSE)*E32+VLOOKUP(A33,'Fertilizer Products &amp; Pricing'!$A$4:$O$35,7,FALSE)*E33+VLOOKUP(A34,'Fertilizer Products &amp; Pricing'!$A$4:$O$35,7,FALSE)*E34+VLOOKUP(A35,'Fertilizer Products &amp; Pricing'!$A$4:$O$35,7,FALSE)*E35+VLOOKUP(A36,'Fertilizer Products &amp; Pricing'!$A$4:$O$35,7,FALSE)*E36+VLOOKUP(A39,'Fertilizer Products &amp; Pricing'!$A$39:$O$52,7,FALSE)*E39+VLOOKUP(A40,'Fertilizer Products &amp; Pricing'!$A$39:$O$52,7,FALSE)*E40+VLOOKUP(A41,'Fertilizer Products &amp; Pricing'!$A$39:$O$52,7,FALSE)*E41+VLOOKUP(A42,'Fertilizer Products &amp; Pricing'!$A$39:$O$52,7,FALSE)*E42</f>
        <v>0</v>
      </c>
      <c r="K34" s="62">
        <f>VLOOKUP(A31,'Fertilizer Products &amp; Pricing'!$A$4:$O$35,6,FALSE)*E31+VLOOKUP(A32,'Fertilizer Products &amp; Pricing'!$A$4:$O$35,6,FALSE)*E32+VLOOKUP(A33,'Fertilizer Products &amp; Pricing'!$A$4:$O$35,6,FALSE)*E33+VLOOKUP(A34,'Fertilizer Products &amp; Pricing'!$A$4:$O$35,6,FALSE)*E34+VLOOKUP(A35,'Fertilizer Products &amp; Pricing'!$A$4:$O$35,6,FALSE)*E35+VLOOKUP(A36,'Fertilizer Products &amp; Pricing'!$A$4:$O$35,6,FALSE)*E36+VLOOKUP(A39,'Fertilizer Products &amp; Pricing'!$A$39:$O$52,6,FALSE)*E39+VLOOKUP(A40,'Fertilizer Products &amp; Pricing'!$A$39:$O$52,6,FALSE)*E40+VLOOKUP(A41,'Fertilizer Products &amp; Pricing'!$A$39:$O$52,6,FALSE)*E41+VLOOKUP(A42,'Fertilizer Products &amp; Pricing'!$A$39:$O$52,6,FALSE)*E42</f>
        <v>0</v>
      </c>
      <c r="L34" s="57"/>
      <c r="M34" s="337" t="s">
        <v>13</v>
      </c>
      <c r="N34" s="18" t="str">
        <f>VLOOKUP(M34,'Fertilizer Products &amp; Pricing'!$A$4:$O$35,14,FALSE)</f>
        <v>None</v>
      </c>
      <c r="O34" s="119">
        <f>VLOOKUP(M34,'Fertilizer Products &amp; Pricing'!$A$4:$O$35,15,FALSE)</f>
        <v>0</v>
      </c>
      <c r="P34" s="120">
        <f>VLOOKUP(M34,'Fertilizer Products &amp; Pricing'!$A$4:$O$35,13,FALSE)</f>
        <v>1</v>
      </c>
      <c r="Q34" s="303">
        <v>0</v>
      </c>
      <c r="R34" s="122">
        <f>VLOOKUP(M34,'Fertilizer Products &amp; Pricing'!$A$4:$O$35,12,FALSE)</f>
        <v>0</v>
      </c>
      <c r="S34" s="122">
        <f>(Q34*VLOOKUP(M34,'Fertilizer Products &amp; Pricing'!$A$4:$O$35,11,FALSE)/P34)*O34</f>
        <v>0</v>
      </c>
      <c r="T34" s="2"/>
      <c r="U34" s="61">
        <f>VLOOKUP(M31,'Fertilizer Products &amp; Pricing'!$A$4:$O$35,5,FALSE)*Q31+VLOOKUP(M32,'Fertilizer Products &amp; Pricing'!$A$4:$O$35,5,FALSE)*Q32+VLOOKUP(M33,'Fertilizer Products &amp; Pricing'!$A$4:$O$35,5,FALSE)*Q33+VLOOKUP(M34,'Fertilizer Products &amp; Pricing'!$A$4:$O$35,5,FALSE)*Q34+VLOOKUP(M35,'Fertilizer Products &amp; Pricing'!$A$4:$O$35,5,FALSE)*Q35+VLOOKUP(M36,'Fertilizer Products &amp; Pricing'!$A$4:$O$35,5,FALSE)*Q36+VLOOKUP(M39,'Fertilizer Products &amp; Pricing'!$A$39:$O$52,5,FALSE)*Q39+VLOOKUP(M40,'Fertilizer Products &amp; Pricing'!$A$39:$O$52,5,FALSE)*Q40+VLOOKUP(M41,'Fertilizer Products &amp; Pricing'!$A$39:$O$52,5,FALSE)*Q41+VLOOKUP(M42,'Fertilizer Products &amp; Pricing'!$A$39:$O$52,5,FALSE)*Q42</f>
        <v>0</v>
      </c>
      <c r="V34" s="61">
        <f>VLOOKUP(M31,'Fertilizer Products &amp; Pricing'!$A$4:$O$35,7,FALSE)*Q31+VLOOKUP(M32,'Fertilizer Products &amp; Pricing'!$A$4:$O$35,7,FALSE)*Q32+VLOOKUP(M33,'Fertilizer Products &amp; Pricing'!$A$4:$O$35,7,FALSE)*Q33+VLOOKUP(M34,'Fertilizer Products &amp; Pricing'!$A$4:$O$35,7,FALSE)*Q34+VLOOKUP(M35,'Fertilizer Products &amp; Pricing'!$A$4:$O$35,7,FALSE)*Q35+VLOOKUP(M36,'Fertilizer Products &amp; Pricing'!$A$4:$O$35,7,FALSE)*Q36+VLOOKUP(M39,'Fertilizer Products &amp; Pricing'!$A$39:$O$52,7,FALSE)*Q39+VLOOKUP(M40,'Fertilizer Products &amp; Pricing'!$A$39:$O$52,7,FALSE)*Q40+VLOOKUP(M41,'Fertilizer Products &amp; Pricing'!$A$39:$O$52,7,FALSE)*Q41+VLOOKUP(M42,'Fertilizer Products &amp; Pricing'!$A$39:$O$52,7,FALSE)*Q42</f>
        <v>0</v>
      </c>
      <c r="W34" s="62">
        <f>VLOOKUP(M31,'Fertilizer Products &amp; Pricing'!$A$4:$O$35,6,FALSE)*Q31+VLOOKUP(M32,'Fertilizer Products &amp; Pricing'!$A$4:$O$35,6,FALSE)*Q32+VLOOKUP(M33,'Fertilizer Products &amp; Pricing'!$A$4:$O$35,6,FALSE)*Q33+VLOOKUP(M34,'Fertilizer Products &amp; Pricing'!$A$4:$O$35,6,FALSE)*Q34+VLOOKUP(M35,'Fertilizer Products &amp; Pricing'!$A$4:$O$35,6,FALSE)*Q35+VLOOKUP(M36,'Fertilizer Products &amp; Pricing'!$A$4:$O$35,6,FALSE)*Q36+VLOOKUP(M39,'Fertilizer Products &amp; Pricing'!$A$39:$O$52,6,FALSE)*Q39+VLOOKUP(M40,'Fertilizer Products &amp; Pricing'!$A$39:$O$52,6,FALSE)*Q40+VLOOKUP(M41,'Fertilizer Products &amp; Pricing'!$A$39:$O$52,6,FALSE)*Q41+VLOOKUP(M42,'Fertilizer Products &amp; Pricing'!$A$39:$O$52,6,FALSE)*Q42</f>
        <v>0</v>
      </c>
      <c r="X34" s="21"/>
      <c r="Y34" s="337" t="s">
        <v>13</v>
      </c>
      <c r="Z34" s="18" t="str">
        <f>VLOOKUP(Y34,'Fertilizer Products &amp; Pricing'!$A$4:$O$35,14,FALSE)</f>
        <v>None</v>
      </c>
      <c r="AA34" s="119">
        <f>VLOOKUP(Y34,'Fertilizer Products &amp; Pricing'!$A$4:$O$35,15,FALSE)</f>
        <v>0</v>
      </c>
      <c r="AB34" s="120">
        <f>VLOOKUP(Y34,'Fertilizer Products &amp; Pricing'!$A$4:$O$35,13,FALSE)</f>
        <v>1</v>
      </c>
      <c r="AC34" s="303">
        <v>0</v>
      </c>
      <c r="AD34" s="122">
        <f>VLOOKUP(Y34,'Fertilizer Products &amp; Pricing'!$A$4:$O$35,12,FALSE)</f>
        <v>0</v>
      </c>
      <c r="AE34" s="122">
        <f>(AC34*VLOOKUP(Y34,'Fertilizer Products &amp; Pricing'!$A$4:$O$35,11,FALSE)/AB34)*AA34</f>
        <v>0</v>
      </c>
      <c r="AF34" s="2"/>
      <c r="AG34" s="61">
        <f>VLOOKUP(Y31,'Fertilizer Products &amp; Pricing'!$A$4:$O$35,5,FALSE)*AC31+VLOOKUP(Y32,'Fertilizer Products &amp; Pricing'!$A$4:$O$35,5,FALSE)*AC32+VLOOKUP(Y33,'Fertilizer Products &amp; Pricing'!$A$4:$O$35,5,FALSE)*AC33+VLOOKUP(Y34,'Fertilizer Products &amp; Pricing'!$A$4:$O$35,5,FALSE)*AC34+VLOOKUP(Y35,'Fertilizer Products &amp; Pricing'!$A$4:$O$35,5,FALSE)*AC35+VLOOKUP(Y36,'Fertilizer Products &amp; Pricing'!$A$4:$O$35,5,FALSE)*AC36+VLOOKUP(Y39,'Fertilizer Products &amp; Pricing'!$A$39:$O$52,5,FALSE)*AC39+VLOOKUP(Y40,'Fertilizer Products &amp; Pricing'!$A$39:$O$52,5,FALSE)*AC40+VLOOKUP(Y41,'Fertilizer Products &amp; Pricing'!$A$39:$O$52,5,FALSE)*AC41+VLOOKUP(Y42,'Fertilizer Products &amp; Pricing'!$A$39:$O$52,5,FALSE)*AC42</f>
        <v>0</v>
      </c>
      <c r="AH34" s="61">
        <f>VLOOKUP(Y31,'Fertilizer Products &amp; Pricing'!$A$4:$O$35,7,FALSE)*AC31+VLOOKUP(Y32,'Fertilizer Products &amp; Pricing'!$A$4:$O$35,7,FALSE)*AC32+VLOOKUP(Y33,'Fertilizer Products &amp; Pricing'!$A$4:$O$35,7,FALSE)*AC33+VLOOKUP(Y34,'Fertilizer Products &amp; Pricing'!$A$4:$O$35,7,FALSE)*AC34+VLOOKUP(Y35,'Fertilizer Products &amp; Pricing'!$A$4:$O$35,7,FALSE)*AC35+VLOOKUP(Y36,'Fertilizer Products &amp; Pricing'!$A$4:$O$35,7,FALSE)*AC36+VLOOKUP(Y39,'Fertilizer Products &amp; Pricing'!$A$39:$O$52,7,FALSE)*AC39+VLOOKUP(Y40,'Fertilizer Products &amp; Pricing'!$A$39:$O$52,7,FALSE)*AC40+VLOOKUP(Y41,'Fertilizer Products &amp; Pricing'!$A$39:$O$52,7,FALSE)*AC41+VLOOKUP(Y42,'Fertilizer Products &amp; Pricing'!$A$39:$O$52,7,FALSE)*AC42</f>
        <v>0</v>
      </c>
      <c r="AI34" s="62">
        <f>VLOOKUP(Y31,'Fertilizer Products &amp; Pricing'!$A$4:$O$35,6,FALSE)*AC31+VLOOKUP(Y32,'Fertilizer Products &amp; Pricing'!$A$4:$O$35,6,FALSE)*AC32+VLOOKUP(Y33,'Fertilizer Products &amp; Pricing'!$A$4:$O$35,6,FALSE)*AC33+VLOOKUP(Y34,'Fertilizer Products &amp; Pricing'!$A$4:$O$35,6,FALSE)*AC34+VLOOKUP(Y35,'Fertilizer Products &amp; Pricing'!$A$4:$O$35,6,FALSE)*AC35+VLOOKUP(Y36,'Fertilizer Products &amp; Pricing'!$A$4:$O$35,6,FALSE)*AC36+VLOOKUP(Y39,'Fertilizer Products &amp; Pricing'!$A$39:$O$52,6,FALSE)*AC39+VLOOKUP(Y40,'Fertilizer Products &amp; Pricing'!$A$39:$O$52,6,FALSE)*AC40+VLOOKUP(Y41,'Fertilizer Products &amp; Pricing'!$A$39:$O$52,6,FALSE)*AC41+VLOOKUP(Y42,'Fertilizer Products &amp; Pricing'!$A$39:$O$52,6,FALSE)*AC42</f>
        <v>0</v>
      </c>
    </row>
    <row r="35" spans="1:35" ht="15.75">
      <c r="A35" s="337" t="s">
        <v>13</v>
      </c>
      <c r="B35" s="18" t="str">
        <f>VLOOKUP(A35,'Fertilizer Products &amp; Pricing'!$A$4:$O$35,14,FALSE)</f>
        <v>None</v>
      </c>
      <c r="C35" s="119">
        <f>VLOOKUP(A35,'Fertilizer Products &amp; Pricing'!$A$4:$O$35,15,FALSE)</f>
        <v>0</v>
      </c>
      <c r="D35" s="120">
        <f>VLOOKUP(A35,'Fertilizer Products &amp; Pricing'!$A$4:$O$35,13,FALSE)</f>
        <v>1</v>
      </c>
      <c r="E35" s="303">
        <v>0</v>
      </c>
      <c r="F35" s="122">
        <f>VLOOKUP(A35,'Fertilizer Products &amp; Pricing'!$A$4:$O$35,12,FALSE)</f>
        <v>0</v>
      </c>
      <c r="G35" s="122">
        <f>(E35*VLOOKUP(A35,'Fertilizer Products &amp; Pricing'!$A$4:$O$35,11,FALSE)/D35)*C35</f>
        <v>0</v>
      </c>
      <c r="H35" s="2"/>
      <c r="I35" s="63"/>
      <c r="J35" s="63"/>
      <c r="K35" s="64"/>
      <c r="L35" s="21"/>
      <c r="M35" s="337" t="s">
        <v>13</v>
      </c>
      <c r="N35" s="18" t="str">
        <f>VLOOKUP(M35,'Fertilizer Products &amp; Pricing'!$A$4:$O$35,14,FALSE)</f>
        <v>None</v>
      </c>
      <c r="O35" s="119">
        <f>VLOOKUP(M35,'Fertilizer Products &amp; Pricing'!$A$4:$O$35,15,FALSE)</f>
        <v>0</v>
      </c>
      <c r="P35" s="120">
        <f>VLOOKUP(M35,'Fertilizer Products &amp; Pricing'!$A$4:$O$35,13,FALSE)</f>
        <v>1</v>
      </c>
      <c r="Q35" s="303">
        <v>0</v>
      </c>
      <c r="R35" s="122">
        <f>VLOOKUP(M35,'Fertilizer Products &amp; Pricing'!$A$4:$O$35,12,FALSE)</f>
        <v>0</v>
      </c>
      <c r="S35" s="122">
        <f>(Q35*VLOOKUP(M35,'Fertilizer Products &amp; Pricing'!$A$4:$O$35,11,FALSE)/P35)*O35</f>
        <v>0</v>
      </c>
      <c r="T35" s="2"/>
      <c r="U35" s="63"/>
      <c r="V35" s="63"/>
      <c r="W35" s="64"/>
      <c r="X35" s="58"/>
      <c r="Y35" s="337" t="s">
        <v>13</v>
      </c>
      <c r="Z35" s="18" t="str">
        <f>VLOOKUP(Y35,'Fertilizer Products &amp; Pricing'!$A$4:$O$35,14,FALSE)</f>
        <v>None</v>
      </c>
      <c r="AA35" s="119">
        <f>VLOOKUP(Y35,'Fertilizer Products &amp; Pricing'!$A$4:$O$35,15,FALSE)</f>
        <v>0</v>
      </c>
      <c r="AB35" s="120">
        <f>VLOOKUP(Y35,'Fertilizer Products &amp; Pricing'!$A$4:$O$35,13,FALSE)</f>
        <v>1</v>
      </c>
      <c r="AC35" s="303">
        <v>0</v>
      </c>
      <c r="AD35" s="122">
        <f>VLOOKUP(Y35,'Fertilizer Products &amp; Pricing'!$A$4:$O$35,12,FALSE)</f>
        <v>0</v>
      </c>
      <c r="AE35" s="122">
        <f>(AC35*VLOOKUP(Y35,'Fertilizer Products &amp; Pricing'!$A$4:$O$35,11,FALSE)/AB35)*AA35</f>
        <v>0</v>
      </c>
      <c r="AF35" s="2"/>
      <c r="AG35" s="63"/>
      <c r="AH35" s="63"/>
      <c r="AI35" s="64"/>
    </row>
    <row r="36" spans="1:35" ht="15.75">
      <c r="A36" s="337" t="s">
        <v>13</v>
      </c>
      <c r="B36" s="18" t="str">
        <f>VLOOKUP(A36,'Fertilizer Products &amp; Pricing'!$A$4:$O$35,14,FALSE)</f>
        <v>None</v>
      </c>
      <c r="C36" s="119">
        <f>VLOOKUP(A36,'Fertilizer Products &amp; Pricing'!$A$4:$O$35,15,FALSE)</f>
        <v>0</v>
      </c>
      <c r="D36" s="120">
        <f>VLOOKUP(A36,'Fertilizer Products &amp; Pricing'!$A$4:$O$35,13,FALSE)</f>
        <v>1</v>
      </c>
      <c r="E36" s="303">
        <v>0</v>
      </c>
      <c r="F36" s="122">
        <f>VLOOKUP(A36,'Fertilizer Products &amp; Pricing'!$A$4:$O$35,12,FALSE)</f>
        <v>0</v>
      </c>
      <c r="G36" s="122">
        <f>(E36*VLOOKUP(A36,'Fertilizer Products &amp; Pricing'!$A$4:$O$35,11,FALSE)/D36)*C36</f>
        <v>0</v>
      </c>
      <c r="H36" s="2"/>
      <c r="I36" s="657" t="s">
        <v>118</v>
      </c>
      <c r="J36" s="657" t="s">
        <v>119</v>
      </c>
      <c r="K36" s="658" t="s">
        <v>120</v>
      </c>
      <c r="L36" s="22"/>
      <c r="M36" s="337" t="s">
        <v>13</v>
      </c>
      <c r="N36" s="18" t="str">
        <f>VLOOKUP(M36,'Fertilizer Products &amp; Pricing'!$A$4:$O$35,14,FALSE)</f>
        <v>None</v>
      </c>
      <c r="O36" s="119">
        <f>VLOOKUP(M36,'Fertilizer Products &amp; Pricing'!$A$4:$O$35,15,FALSE)</f>
        <v>0</v>
      </c>
      <c r="P36" s="120">
        <f>VLOOKUP(M36,'Fertilizer Products &amp; Pricing'!$A$4:$O$35,13,FALSE)</f>
        <v>1</v>
      </c>
      <c r="Q36" s="303">
        <v>0</v>
      </c>
      <c r="R36" s="122">
        <f>VLOOKUP(M36,'Fertilizer Products &amp; Pricing'!$A$4:$O$35,12,FALSE)</f>
        <v>0</v>
      </c>
      <c r="S36" s="122">
        <f>(Q36*VLOOKUP(M36,'Fertilizer Products &amp; Pricing'!$A$4:$O$35,11,FALSE)/P36)*O36</f>
        <v>0</v>
      </c>
      <c r="T36" s="2"/>
      <c r="U36" s="657" t="s">
        <v>118</v>
      </c>
      <c r="V36" s="657" t="s">
        <v>119</v>
      </c>
      <c r="W36" s="658" t="s">
        <v>120</v>
      </c>
      <c r="X36" s="57"/>
      <c r="Y36" s="337" t="s">
        <v>13</v>
      </c>
      <c r="Z36" s="18" t="str">
        <f>VLOOKUP(Y36,'Fertilizer Products &amp; Pricing'!$A$4:$O$35,14,FALSE)</f>
        <v>None</v>
      </c>
      <c r="AA36" s="119">
        <f>VLOOKUP(Y36,'Fertilizer Products &amp; Pricing'!$A$4:$O$35,15,FALSE)</f>
        <v>0</v>
      </c>
      <c r="AB36" s="120">
        <f>VLOOKUP(Y36,'Fertilizer Products &amp; Pricing'!$A$4:$O$35,13,FALSE)</f>
        <v>1</v>
      </c>
      <c r="AC36" s="303">
        <v>0</v>
      </c>
      <c r="AD36" s="122">
        <f>VLOOKUP(Y36,'Fertilizer Products &amp; Pricing'!$A$4:$O$35,12,FALSE)</f>
        <v>0</v>
      </c>
      <c r="AE36" s="122">
        <f>(AC36*VLOOKUP(Y36,'Fertilizer Products &amp; Pricing'!$A$4:$O$35,11,FALSE)/AB36)*AA36</f>
        <v>0</v>
      </c>
      <c r="AF36" s="2"/>
      <c r="AG36" s="657" t="s">
        <v>118</v>
      </c>
      <c r="AH36" s="657" t="s">
        <v>119</v>
      </c>
      <c r="AI36" s="658" t="s">
        <v>120</v>
      </c>
    </row>
    <row r="37" spans="1:35" ht="15.75">
      <c r="A37" s="123"/>
      <c r="B37" s="44"/>
      <c r="C37" s="119"/>
      <c r="D37" s="122"/>
      <c r="E37" s="101"/>
      <c r="F37" s="122"/>
      <c r="G37" s="44"/>
      <c r="H37" s="2"/>
      <c r="I37" s="65">
        <f>VLOOKUP($A$40,'Fertilizer Products &amp; Pricing'!$A$39:$O$52,8,FALSE)*$E$40+VLOOKUP($A$41,'Fertilizer Products &amp; Pricing'!$A$39:$O$52,8,FALSE)*$E$41+VLOOKUP($A$42,'Fertilizer Products &amp; Pricing'!$A$39:$O$52,8,FALSE)*$E$42+VLOOKUP($A$39,'Fertilizer Products &amp; Pricing'!$A$39:$O$52,8,FALSE)*$E$39</f>
        <v>0</v>
      </c>
      <c r="J37" s="65">
        <f>VLOOKUP($A$40,'Fertilizer Products &amp; Pricing'!$A$39:$O$52,9,FALSE)*$E$40+VLOOKUP($A$41,'Fertilizer Products &amp; Pricing'!$A$39:$O$52,9,FALSE)*$E$41+VLOOKUP($A$42,'Fertilizer Products &amp; Pricing'!$A$39:$O$52,9,FALSE)*$E$42+VLOOKUP($A$39,'Fertilizer Products &amp; Pricing'!$A$39:$O$52,9,FALSE)*$E$39</f>
        <v>0</v>
      </c>
      <c r="K37" s="66">
        <v>0</v>
      </c>
      <c r="L37" s="57"/>
      <c r="M37" s="123"/>
      <c r="N37" s="44"/>
      <c r="O37" s="119"/>
      <c r="P37" s="122"/>
      <c r="Q37" s="101"/>
      <c r="R37" s="122"/>
      <c r="S37" s="44"/>
      <c r="T37" s="2"/>
      <c r="U37" s="65">
        <f>VLOOKUP($M40,'Fertilizer Products &amp; Pricing'!$A$39:$O$52,8,FALSE)*$Q40+VLOOKUP($M41,'Fertilizer Products &amp; Pricing'!$A$39:$O$52,8,FALSE)*$Q41+VLOOKUP($M42,'Fertilizer Products &amp; Pricing'!$A$39:$O$52,8,FALSE)*$Q42+VLOOKUP($M39,'Fertilizer Products &amp; Pricing'!$A$39:$O$52,8,FALSE)*$Q39</f>
        <v>0</v>
      </c>
      <c r="V37" s="65">
        <f>VLOOKUP($M40,'Fertilizer Products &amp; Pricing'!$A$39:$O$52,9,FALSE)*$Q40+VLOOKUP($M41,'Fertilizer Products &amp; Pricing'!$A$39:$O$52,9,FALSE)*$Q41+VLOOKUP($M42,'Fertilizer Products &amp; Pricing'!$A$39:$O$52,9,FALSE)*$Q42+VLOOKUP($M39,'Fertilizer Products &amp; Pricing'!$A$39:$O$52,9,FALSE)*$Q39</f>
        <v>0</v>
      </c>
      <c r="W37" s="66">
        <v>0</v>
      </c>
      <c r="X37" s="59"/>
      <c r="Y37" s="123"/>
      <c r="Z37" s="44"/>
      <c r="AA37" s="119"/>
      <c r="AB37" s="122"/>
      <c r="AC37" s="101"/>
      <c r="AD37" s="122"/>
      <c r="AE37" s="44"/>
      <c r="AF37" s="2"/>
      <c r="AG37" s="65">
        <f>VLOOKUP($Y40,'Fertilizer Products &amp; Pricing'!$A$39:$O$52,8,FALSE)*$AC40+VLOOKUP($Y41,'Fertilizer Products &amp; Pricing'!$A$39:$O$52,8,FALSE)*$AC41+VLOOKUP($Y42,'Fertilizer Products &amp; Pricing'!$A$39:$O$52,8,FALSE)*$AC42+VLOOKUP($Y39,'Fertilizer Products &amp; Pricing'!$A$39:$O$52,8,FALSE)*$AC39</f>
        <v>0</v>
      </c>
      <c r="AH37" s="65">
        <f>VLOOKUP($Y40,'Fertilizer Products &amp; Pricing'!$A$39:$O$52,9,FALSE)*$AC40+VLOOKUP($Y41,'Fertilizer Products &amp; Pricing'!$A$39:$O$52,9,FALSE)*$AC41+VLOOKUP($Y42,'Fertilizer Products &amp; Pricing'!$A$39:$O$52,9,FALSE)*$AC42+VLOOKUP($Y39,'Fertilizer Products &amp; Pricing'!$A$39:$O$52,9,FALSE)*$AC39</f>
        <v>0</v>
      </c>
      <c r="AI37" s="66">
        <v>0</v>
      </c>
    </row>
    <row r="38" spans="1:35" ht="15.75">
      <c r="A38" s="93" t="s">
        <v>349</v>
      </c>
      <c r="B38" s="19"/>
      <c r="C38" s="119"/>
      <c r="D38" s="19"/>
      <c r="E38" s="121"/>
      <c r="F38" s="54"/>
      <c r="G38" s="44"/>
      <c r="H38" s="2"/>
      <c r="I38" s="2"/>
      <c r="J38" s="2"/>
      <c r="K38" s="55"/>
      <c r="L38" s="21"/>
      <c r="M38" s="93" t="s">
        <v>349</v>
      </c>
      <c r="N38" s="19"/>
      <c r="O38" s="119"/>
      <c r="P38" s="19"/>
      <c r="Q38" s="121"/>
      <c r="R38" s="54"/>
      <c r="S38" s="44"/>
      <c r="T38" s="2"/>
      <c r="U38" s="2"/>
      <c r="V38" s="2"/>
      <c r="W38" s="55"/>
      <c r="Y38" s="93" t="s">
        <v>349</v>
      </c>
      <c r="Z38" s="19"/>
      <c r="AA38" s="119"/>
      <c r="AB38" s="19"/>
      <c r="AC38" s="121"/>
      <c r="AD38" s="54"/>
      <c r="AE38" s="44"/>
      <c r="AF38" s="2"/>
      <c r="AG38" s="2"/>
      <c r="AH38" s="2"/>
      <c r="AI38" s="55"/>
    </row>
    <row r="39" spans="1:35" ht="15.75">
      <c r="A39" s="337" t="s">
        <v>13</v>
      </c>
      <c r="B39" s="18" t="str">
        <f>VLOOKUP($A39,'Fertilizer Products &amp; Pricing'!$A$39:$O$52,14,FALSE)</f>
        <v>None</v>
      </c>
      <c r="C39" s="119">
        <f>VLOOKUP($A39,'Fertilizer Products &amp; Pricing'!$A$39:$O$52,15,FALSE)</f>
        <v>0</v>
      </c>
      <c r="D39" s="120">
        <f>VLOOKUP($A39,'Fertilizer Products &amp; Pricing'!$A$39:$O$52,13,FALSE)</f>
        <v>1</v>
      </c>
      <c r="E39" s="303">
        <v>0</v>
      </c>
      <c r="F39" s="122">
        <f>VLOOKUP($A39,'Fertilizer Products &amp; Pricing'!$A$39:$O$52,12,FALSE)</f>
        <v>0</v>
      </c>
      <c r="G39" s="44">
        <f>(E39*VLOOKUP(A39,'Fertilizer Products &amp; Pricing'!$A$39:$O$52,11,FALSE)/D39)*C39</f>
        <v>0</v>
      </c>
      <c r="H39" s="2"/>
      <c r="I39" s="2"/>
      <c r="J39" s="2"/>
      <c r="K39" s="55"/>
      <c r="L39" s="21"/>
      <c r="M39" s="337" t="s">
        <v>13</v>
      </c>
      <c r="N39" s="18" t="str">
        <f>VLOOKUP($A39,'Fertilizer Products &amp; Pricing'!$A$39:$O$52,14,FALSE)</f>
        <v>None</v>
      </c>
      <c r="O39" s="119">
        <f>VLOOKUP($A39,'Fertilizer Products &amp; Pricing'!$A$39:$O$52,15,FALSE)</f>
        <v>0</v>
      </c>
      <c r="P39" s="120">
        <f>VLOOKUP($A39,'Fertilizer Products &amp; Pricing'!$A$39:$O$52,13,FALSE)</f>
        <v>1</v>
      </c>
      <c r="Q39" s="303">
        <v>0</v>
      </c>
      <c r="R39" s="122">
        <f>VLOOKUP($A39,'Fertilizer Products &amp; Pricing'!$A$39:$O$52,12,FALSE)</f>
        <v>0</v>
      </c>
      <c r="S39" s="44">
        <f>(Q39*VLOOKUP(M39,'Fertilizer Products &amp; Pricing'!$A$39:$O$52,11,FALSE)/P39)*O39</f>
        <v>0</v>
      </c>
      <c r="T39" s="2"/>
      <c r="U39" s="2"/>
      <c r="V39" s="2"/>
      <c r="W39" s="55"/>
      <c r="Y39" s="337" t="s">
        <v>13</v>
      </c>
      <c r="Z39" s="18" t="str">
        <f>VLOOKUP($A39,'Fertilizer Products &amp; Pricing'!$A$39:$O$52,14,FALSE)</f>
        <v>None</v>
      </c>
      <c r="AA39" s="119">
        <f>VLOOKUP($A39,'Fertilizer Products &amp; Pricing'!$A$39:$O$52,15,FALSE)</f>
        <v>0</v>
      </c>
      <c r="AB39" s="120">
        <f>VLOOKUP($A39,'Fertilizer Products &amp; Pricing'!$A$39:$O$52,13,FALSE)</f>
        <v>1</v>
      </c>
      <c r="AC39" s="303">
        <v>0</v>
      </c>
      <c r="AD39" s="122">
        <f>VLOOKUP($A39,'Fertilizer Products &amp; Pricing'!$A$39:$O$52,12,FALSE)</f>
        <v>0</v>
      </c>
      <c r="AE39" s="44">
        <f>(AC39*VLOOKUP(Y39,'Fertilizer Products &amp; Pricing'!$A$39:$O$52,11,FALSE)/AB39)*AA39</f>
        <v>0</v>
      </c>
      <c r="AF39" s="2"/>
      <c r="AG39" s="2"/>
      <c r="AH39" s="2"/>
      <c r="AI39" s="55"/>
    </row>
    <row r="40" spans="1:35" ht="15.75">
      <c r="A40" s="337" t="s">
        <v>13</v>
      </c>
      <c r="B40" s="18" t="str">
        <f>VLOOKUP($A40,'Fertilizer Products &amp; Pricing'!$A$39:$O$52,14,FALSE)</f>
        <v>None</v>
      </c>
      <c r="C40" s="119">
        <f>VLOOKUP($A40,'Fertilizer Products &amp; Pricing'!$A$39:$O$52,15,FALSE)</f>
        <v>0</v>
      </c>
      <c r="D40" s="120">
        <f>VLOOKUP($A40,'Fertilizer Products &amp; Pricing'!$A$39:$O$52,13,FALSE)</f>
        <v>1</v>
      </c>
      <c r="E40" s="303">
        <v>0</v>
      </c>
      <c r="F40" s="122">
        <f>VLOOKUP($A40,'Fertilizer Products &amp; Pricing'!$A$39:$O$52,12,FALSE)</f>
        <v>0</v>
      </c>
      <c r="G40" s="44">
        <f>(E40*VLOOKUP(A40,'Fertilizer Products &amp; Pricing'!$A$39:$O$52,11,FALSE)/D40)*C40</f>
        <v>0</v>
      </c>
      <c r="H40" s="2"/>
      <c r="I40" s="2"/>
      <c r="J40" s="2"/>
      <c r="K40" s="55"/>
      <c r="L40" s="57"/>
      <c r="M40" s="337" t="s">
        <v>13</v>
      </c>
      <c r="N40" s="18" t="str">
        <f>VLOOKUP($A40,'Fertilizer Products &amp; Pricing'!$A$39:$O$52,14,FALSE)</f>
        <v>None</v>
      </c>
      <c r="O40" s="119">
        <f>VLOOKUP($A40,'Fertilizer Products &amp; Pricing'!$A$39:$O$52,15,FALSE)</f>
        <v>0</v>
      </c>
      <c r="P40" s="120">
        <f>VLOOKUP($A40,'Fertilizer Products &amp; Pricing'!$A$39:$O$52,13,FALSE)</f>
        <v>1</v>
      </c>
      <c r="Q40" s="303">
        <v>0</v>
      </c>
      <c r="R40" s="122">
        <f>VLOOKUP($A40,'Fertilizer Products &amp; Pricing'!$A$39:$O$52,12,FALSE)</f>
        <v>0</v>
      </c>
      <c r="S40" s="44">
        <f>(Q40*VLOOKUP(M40,'Fertilizer Products &amp; Pricing'!$A$39:$O$52,11,FALSE)/P40)*O40</f>
        <v>0</v>
      </c>
      <c r="T40" s="2"/>
      <c r="U40" s="2"/>
      <c r="V40" s="2"/>
      <c r="W40" s="55"/>
      <c r="Y40" s="337" t="s">
        <v>13</v>
      </c>
      <c r="Z40" s="18" t="str">
        <f>VLOOKUP($A40,'Fertilizer Products &amp; Pricing'!$A$39:$O$52,14,FALSE)</f>
        <v>None</v>
      </c>
      <c r="AA40" s="119">
        <f>VLOOKUP($A40,'Fertilizer Products &amp; Pricing'!$A$39:$O$52,15,FALSE)</f>
        <v>0</v>
      </c>
      <c r="AB40" s="120">
        <f>VLOOKUP($A40,'Fertilizer Products &amp; Pricing'!$A$39:$O$52,13,FALSE)</f>
        <v>1</v>
      </c>
      <c r="AC40" s="303">
        <v>0</v>
      </c>
      <c r="AD40" s="122">
        <f>VLOOKUP($A40,'Fertilizer Products &amp; Pricing'!$A$39:$O$52,12,FALSE)</f>
        <v>0</v>
      </c>
      <c r="AE40" s="44">
        <f>(AC40*VLOOKUP(Y40,'Fertilizer Products &amp; Pricing'!$A$39:$O$52,11,FALSE)/AB40)*AA40</f>
        <v>0</v>
      </c>
      <c r="AF40" s="2"/>
      <c r="AG40" s="2"/>
      <c r="AH40" s="2"/>
      <c r="AI40" s="55"/>
    </row>
    <row r="41" spans="1:35" ht="15.75">
      <c r="A41" s="337" t="s">
        <v>13</v>
      </c>
      <c r="B41" s="18" t="str">
        <f>VLOOKUP($A41,'Fertilizer Products &amp; Pricing'!$A$39:$O$52,14,FALSE)</f>
        <v>None</v>
      </c>
      <c r="C41" s="119">
        <f>VLOOKUP($A41,'Fertilizer Products &amp; Pricing'!$A$39:$O$52,15,FALSE)</f>
        <v>0</v>
      </c>
      <c r="D41" s="120">
        <f>VLOOKUP($A41,'Fertilizer Products &amp; Pricing'!$A$39:$O$52,13,FALSE)</f>
        <v>1</v>
      </c>
      <c r="E41" s="303">
        <v>0</v>
      </c>
      <c r="F41" s="122">
        <f>VLOOKUP($A41,'Fertilizer Products &amp; Pricing'!$A$39:$O$52,12,FALSE)</f>
        <v>0</v>
      </c>
      <c r="G41" s="44">
        <f>(E41*VLOOKUP(A41,'Fertilizer Products &amp; Pricing'!$A$39:$O$52,11,FALSE)/D41)*C41</f>
        <v>0</v>
      </c>
      <c r="H41" s="2"/>
      <c r="I41" s="2"/>
      <c r="J41" s="2"/>
      <c r="K41" s="55"/>
      <c r="L41" s="59"/>
      <c r="M41" s="337" t="s">
        <v>13</v>
      </c>
      <c r="N41" s="18" t="str">
        <f>VLOOKUP($A41,'Fertilizer Products &amp; Pricing'!$A$39:$O$52,14,FALSE)</f>
        <v>None</v>
      </c>
      <c r="O41" s="119">
        <f>VLOOKUP($A41,'Fertilizer Products &amp; Pricing'!$A$39:$O$52,15,FALSE)</f>
        <v>0</v>
      </c>
      <c r="P41" s="120">
        <f>VLOOKUP($A41,'Fertilizer Products &amp; Pricing'!$A$39:$O$52,13,FALSE)</f>
        <v>1</v>
      </c>
      <c r="Q41" s="303">
        <v>0</v>
      </c>
      <c r="R41" s="122">
        <f>VLOOKUP($A41,'Fertilizer Products &amp; Pricing'!$A$39:$O$52,12,FALSE)</f>
        <v>0</v>
      </c>
      <c r="S41" s="44">
        <f>(Q41*VLOOKUP(M41,'Fertilizer Products &amp; Pricing'!$A$39:$O$52,11,FALSE)/P41)*O41</f>
        <v>0</v>
      </c>
      <c r="T41" s="2"/>
      <c r="U41" s="2"/>
      <c r="V41" s="2"/>
      <c r="W41" s="55"/>
      <c r="Y41" s="337" t="s">
        <v>13</v>
      </c>
      <c r="Z41" s="18" t="str">
        <f>VLOOKUP($A41,'Fertilizer Products &amp; Pricing'!$A$39:$O$52,14,FALSE)</f>
        <v>None</v>
      </c>
      <c r="AA41" s="119">
        <f>VLOOKUP($A41,'Fertilizer Products &amp; Pricing'!$A$39:$O$52,15,FALSE)</f>
        <v>0</v>
      </c>
      <c r="AB41" s="120">
        <f>VLOOKUP($A41,'Fertilizer Products &amp; Pricing'!$A$39:$O$52,13,FALSE)</f>
        <v>1</v>
      </c>
      <c r="AC41" s="303">
        <v>0</v>
      </c>
      <c r="AD41" s="122">
        <f>VLOOKUP($A41,'Fertilizer Products &amp; Pricing'!$A$39:$O$52,12,FALSE)</f>
        <v>0</v>
      </c>
      <c r="AE41" s="44">
        <f>(AC41*VLOOKUP(Y41,'Fertilizer Products &amp; Pricing'!$A$39:$O$52,11,FALSE)/AB41)*AA41</f>
        <v>0</v>
      </c>
      <c r="AF41" s="2"/>
      <c r="AG41" s="2"/>
      <c r="AH41" s="2"/>
      <c r="AI41" s="55"/>
    </row>
    <row r="42" spans="1:35" ht="15.75">
      <c r="A42" s="337" t="s">
        <v>13</v>
      </c>
      <c r="B42" s="18" t="str">
        <f>VLOOKUP($A42,'Fertilizer Products &amp; Pricing'!$A$39:$O$52,14,FALSE)</f>
        <v>None</v>
      </c>
      <c r="C42" s="119">
        <f>VLOOKUP($A42,'Fertilizer Products &amp; Pricing'!$A$39:$O$52,15,FALSE)</f>
        <v>0</v>
      </c>
      <c r="D42" s="120">
        <f>VLOOKUP($A42,'Fertilizer Products &amp; Pricing'!$A$39:$O$52,13,FALSE)</f>
        <v>1</v>
      </c>
      <c r="E42" s="303">
        <v>0</v>
      </c>
      <c r="F42" s="122">
        <f>VLOOKUP($A42,'Fertilizer Products &amp; Pricing'!$A$39:$O$52,12,FALSE)</f>
        <v>0</v>
      </c>
      <c r="G42" s="44">
        <f>(E42*VLOOKUP(A42,'Fertilizer Products &amp; Pricing'!$A$39:$O$52,11,FALSE)/D42)*C42</f>
        <v>0</v>
      </c>
      <c r="H42" s="2"/>
      <c r="I42" s="2"/>
      <c r="J42" s="2"/>
      <c r="K42" s="55"/>
      <c r="L42" s="22"/>
      <c r="M42" s="337" t="s">
        <v>13</v>
      </c>
      <c r="N42" s="18" t="str">
        <f>VLOOKUP($A42,'Fertilizer Products &amp; Pricing'!$A$39:$O$52,14,FALSE)</f>
        <v>None</v>
      </c>
      <c r="O42" s="119">
        <f>VLOOKUP($A42,'Fertilizer Products &amp; Pricing'!$A$39:$O$52,15,FALSE)</f>
        <v>0</v>
      </c>
      <c r="P42" s="120">
        <f>VLOOKUP($A42,'Fertilizer Products &amp; Pricing'!$A$39:$O$52,13,FALSE)</f>
        <v>1</v>
      </c>
      <c r="Q42" s="303">
        <v>0</v>
      </c>
      <c r="R42" s="122">
        <f>VLOOKUP($A42,'Fertilizer Products &amp; Pricing'!$A$39:$O$52,12,FALSE)</f>
        <v>0</v>
      </c>
      <c r="S42" s="44">
        <f>(Q42*VLOOKUP(M42,'Fertilizer Products &amp; Pricing'!$A$39:$O$52,11,FALSE)/P42)*O42</f>
        <v>0</v>
      </c>
      <c r="T42" s="2"/>
      <c r="U42" s="2"/>
      <c r="V42" s="2"/>
      <c r="W42" s="55"/>
      <c r="Y42" s="337" t="s">
        <v>13</v>
      </c>
      <c r="Z42" s="18" t="str">
        <f>VLOOKUP($A42,'Fertilizer Products &amp; Pricing'!$A$39:$O$52,14,FALSE)</f>
        <v>None</v>
      </c>
      <c r="AA42" s="119">
        <f>VLOOKUP($A42,'Fertilizer Products &amp; Pricing'!$A$39:$O$52,15,FALSE)</f>
        <v>0</v>
      </c>
      <c r="AB42" s="120">
        <f>VLOOKUP($A42,'Fertilizer Products &amp; Pricing'!$A$39:$O$52,13,FALSE)</f>
        <v>1</v>
      </c>
      <c r="AC42" s="303">
        <v>0</v>
      </c>
      <c r="AD42" s="122">
        <f>VLOOKUP($A42,'Fertilizer Products &amp; Pricing'!$A$39:$O$52,12,FALSE)</f>
        <v>0</v>
      </c>
      <c r="AE42" s="44">
        <f>(AC42*VLOOKUP(Y42,'Fertilizer Products &amp; Pricing'!$A$39:$O$52,11,FALSE)/AB42)*AA42</f>
        <v>0</v>
      </c>
      <c r="AF42" s="2"/>
      <c r="AG42" s="2"/>
      <c r="AH42" s="2"/>
      <c r="AI42" s="55"/>
    </row>
    <row r="43" spans="1:35" ht="15.75">
      <c r="A43" s="123"/>
      <c r="B43" s="19"/>
      <c r="C43" s="119"/>
      <c r="D43" s="19"/>
      <c r="E43" s="121"/>
      <c r="F43" s="54"/>
      <c r="G43" s="44"/>
      <c r="H43" s="2"/>
      <c r="I43" s="2"/>
      <c r="J43" s="2"/>
      <c r="K43" s="55"/>
      <c r="L43" s="22"/>
      <c r="M43" s="123"/>
      <c r="N43" s="19"/>
      <c r="O43" s="119"/>
      <c r="P43" s="19"/>
      <c r="Q43" s="121"/>
      <c r="R43" s="54"/>
      <c r="S43" s="44"/>
      <c r="T43" s="2"/>
      <c r="U43" s="2"/>
      <c r="V43" s="2"/>
      <c r="W43" s="55"/>
      <c r="Y43" s="123"/>
      <c r="Z43" s="19"/>
      <c r="AA43" s="119"/>
      <c r="AB43" s="19"/>
      <c r="AC43" s="121"/>
      <c r="AD43" s="54"/>
      <c r="AE43" s="44"/>
      <c r="AF43" s="2"/>
      <c r="AG43" s="2"/>
      <c r="AH43" s="2"/>
      <c r="AI43" s="55"/>
    </row>
    <row r="44" spans="1:35" ht="15.75">
      <c r="A44" s="93" t="s">
        <v>351</v>
      </c>
      <c r="B44" s="124"/>
      <c r="C44" s="125"/>
      <c r="D44" s="124"/>
      <c r="E44" s="126"/>
      <c r="F44" s="94"/>
      <c r="G44" s="94"/>
      <c r="H44" s="2"/>
      <c r="I44" s="2"/>
      <c r="J44" s="2"/>
      <c r="K44" s="55"/>
      <c r="L44" s="57"/>
      <c r="M44" s="93" t="s">
        <v>351</v>
      </c>
      <c r="N44" s="124"/>
      <c r="O44" s="125"/>
      <c r="P44" s="124"/>
      <c r="Q44" s="126"/>
      <c r="R44" s="94"/>
      <c r="S44" s="94"/>
      <c r="T44" s="2"/>
      <c r="U44" s="2"/>
      <c r="V44" s="2"/>
      <c r="W44" s="55"/>
      <c r="Y44" s="93" t="s">
        <v>351</v>
      </c>
      <c r="Z44" s="124"/>
      <c r="AA44" s="125"/>
      <c r="AB44" s="124"/>
      <c r="AC44" s="126"/>
      <c r="AD44" s="94"/>
      <c r="AE44" s="94"/>
      <c r="AF44" s="2"/>
      <c r="AG44" s="2"/>
      <c r="AH44" s="2"/>
      <c r="AI44" s="55"/>
    </row>
    <row r="45" spans="1:35" ht="15.75">
      <c r="A45" s="338" t="s">
        <v>13</v>
      </c>
      <c r="B45" s="18" t="str">
        <f>VLOOKUP(A45,'Fertilizer Products &amp; Pricing'!$A$68:$O$77,14,FALSE)</f>
        <v>None</v>
      </c>
      <c r="C45" s="119">
        <f>VLOOKUP(A45,'Fertilizer Products &amp; Pricing'!$A$68:$O$77,15,FALSE)</f>
        <v>0</v>
      </c>
      <c r="D45" s="120">
        <f>VLOOKUP(A45,'Fertilizer Products &amp; Pricing'!$A$68:$O$77,13,FALSE)</f>
        <v>1</v>
      </c>
      <c r="E45" s="303">
        <v>0</v>
      </c>
      <c r="F45" s="122">
        <f>VLOOKUP(A45,'Fertilizer Products &amp; Pricing'!$A$68:$O$77,12,FALSE)</f>
        <v>0</v>
      </c>
      <c r="G45" s="44">
        <f>(E45*VLOOKUP(A45,'Fertilizer Products &amp; Pricing'!$A$68:$O$77,11,FALSE)/D45)*C45</f>
        <v>0</v>
      </c>
      <c r="H45" s="2"/>
      <c r="I45" s="2"/>
      <c r="J45" s="2"/>
      <c r="K45" s="55"/>
      <c r="L45" s="21"/>
      <c r="M45" s="338" t="s">
        <v>13</v>
      </c>
      <c r="N45" s="18" t="str">
        <f>VLOOKUP(M45,'Fertilizer Products &amp; Pricing'!$A$68:$O$77,14,FALSE)</f>
        <v>None</v>
      </c>
      <c r="O45" s="119">
        <f>VLOOKUP(M45,'Fertilizer Products &amp; Pricing'!$A$68:$O$77,15,FALSE)</f>
        <v>0</v>
      </c>
      <c r="P45" s="120">
        <f>VLOOKUP(M45,'Fertilizer Products &amp; Pricing'!$A$68:$O$77,13,FALSE)</f>
        <v>1</v>
      </c>
      <c r="Q45" s="303">
        <v>0</v>
      </c>
      <c r="R45" s="122">
        <f>VLOOKUP(M45,'Fertilizer Products &amp; Pricing'!$A$68:$O$77,12,FALSE)</f>
        <v>0</v>
      </c>
      <c r="S45" s="44">
        <f>(Q45*VLOOKUP(M45,'Fertilizer Products &amp; Pricing'!$A$68:$O$77,11,FALSE)/P45)*O45</f>
        <v>0</v>
      </c>
      <c r="T45" s="2"/>
      <c r="U45" s="2"/>
      <c r="V45" s="2"/>
      <c r="W45" s="55"/>
      <c r="Y45" s="338" t="s">
        <v>13</v>
      </c>
      <c r="Z45" s="18" t="str">
        <f>VLOOKUP(Y45,'Fertilizer Products &amp; Pricing'!$A$68:$O$77,14,FALSE)</f>
        <v>None</v>
      </c>
      <c r="AA45" s="119">
        <f>VLOOKUP(Y45,'Fertilizer Products &amp; Pricing'!$A$68:$O$77,15,FALSE)</f>
        <v>0</v>
      </c>
      <c r="AB45" s="120">
        <f>VLOOKUP(Y45,'Fertilizer Products &amp; Pricing'!$A$68:$O$77,13,FALSE)</f>
        <v>1</v>
      </c>
      <c r="AC45" s="303">
        <v>0</v>
      </c>
      <c r="AD45" s="122">
        <f>VLOOKUP(Y45,'Fertilizer Products &amp; Pricing'!$A$68:$O$77,12,FALSE)</f>
        <v>0</v>
      </c>
      <c r="AE45" s="44">
        <f>(AC45*VLOOKUP(Y45,'Fertilizer Products &amp; Pricing'!$A$68:$O$77,11,FALSE)/AB45)*AA45</f>
        <v>0</v>
      </c>
      <c r="AF45" s="2"/>
      <c r="AG45" s="2"/>
      <c r="AH45" s="2"/>
      <c r="AI45" s="55"/>
    </row>
    <row r="46" spans="1:35" ht="15.75">
      <c r="A46" s="338" t="s">
        <v>13</v>
      </c>
      <c r="B46" s="18" t="str">
        <f>VLOOKUP(A46,'Fertilizer Products &amp; Pricing'!$A$68:$O$77,14,FALSE)</f>
        <v>None</v>
      </c>
      <c r="C46" s="119">
        <f>VLOOKUP(A46,'Fertilizer Products &amp; Pricing'!$A$68:$O$77,15,FALSE)</f>
        <v>0</v>
      </c>
      <c r="D46" s="120">
        <f>VLOOKUP(A46,'Fertilizer Products &amp; Pricing'!$A$68:$O$77,13,FALSE)</f>
        <v>1</v>
      </c>
      <c r="E46" s="303">
        <v>0</v>
      </c>
      <c r="F46" s="122">
        <f>VLOOKUP(A46,'Fertilizer Products &amp; Pricing'!$A$68:$O$77,12,FALSE)</f>
        <v>0</v>
      </c>
      <c r="G46" s="44">
        <f>(E46*VLOOKUP(A46,'Fertilizer Products &amp; Pricing'!$A$68:$O$77,11,FALSE)/D46)*C46</f>
        <v>0</v>
      </c>
      <c r="H46" s="2"/>
      <c r="I46" s="2"/>
      <c r="J46" s="2"/>
      <c r="K46" s="132" t="s">
        <v>363</v>
      </c>
      <c r="L46" s="21"/>
      <c r="M46" s="338" t="s">
        <v>13</v>
      </c>
      <c r="N46" s="18" t="str">
        <f>VLOOKUP(M46,'Fertilizer Products &amp; Pricing'!$A$68:$O$77,14,FALSE)</f>
        <v>None</v>
      </c>
      <c r="O46" s="119">
        <f>VLOOKUP(M46,'Fertilizer Products &amp; Pricing'!$A$68:$O$77,15,FALSE)</f>
        <v>0</v>
      </c>
      <c r="P46" s="120">
        <f>VLOOKUP(M46,'Fertilizer Products &amp; Pricing'!$A$68:$O$77,13,FALSE)</f>
        <v>1</v>
      </c>
      <c r="Q46" s="303">
        <v>0</v>
      </c>
      <c r="R46" s="122">
        <f>VLOOKUP(M46,'Fertilizer Products &amp; Pricing'!$A$68:$O$77,12,FALSE)</f>
        <v>0</v>
      </c>
      <c r="S46" s="44">
        <f>(Q46*VLOOKUP(M46,'Fertilizer Products &amp; Pricing'!$A$68:$O$77,11,FALSE)/P46)*O46</f>
        <v>0</v>
      </c>
      <c r="T46" s="2"/>
      <c r="U46" s="2"/>
      <c r="V46" s="2"/>
      <c r="W46" s="132" t="s">
        <v>363</v>
      </c>
      <c r="Y46" s="338" t="s">
        <v>13</v>
      </c>
      <c r="Z46" s="18" t="str">
        <f>VLOOKUP(Y46,'Fertilizer Products &amp; Pricing'!$A$68:$O$77,14,FALSE)</f>
        <v>None</v>
      </c>
      <c r="AA46" s="119">
        <f>VLOOKUP(Y46,'Fertilizer Products &amp; Pricing'!$A$68:$O$77,15,FALSE)</f>
        <v>0</v>
      </c>
      <c r="AB46" s="120">
        <f>VLOOKUP(Y46,'Fertilizer Products &amp; Pricing'!$A$68:$O$77,13,FALSE)</f>
        <v>1</v>
      </c>
      <c r="AC46" s="303">
        <v>0</v>
      </c>
      <c r="AD46" s="122">
        <f>VLOOKUP(Y46,'Fertilizer Products &amp; Pricing'!$A$68:$O$77,12,FALSE)</f>
        <v>0</v>
      </c>
      <c r="AE46" s="44">
        <f>(AC46*VLOOKUP(Y46,'Fertilizer Products &amp; Pricing'!$A$68:$O$77,11,FALSE)/AB46)*AA46</f>
        <v>0</v>
      </c>
      <c r="AF46" s="2"/>
      <c r="AG46" s="2"/>
      <c r="AH46" s="2"/>
      <c r="AI46" s="132" t="s">
        <v>363</v>
      </c>
    </row>
    <row r="47" spans="1:35" ht="16.5" thickBot="1">
      <c r="A47" s="302" t="s">
        <v>141</v>
      </c>
      <c r="B47" s="128"/>
      <c r="C47" s="105"/>
      <c r="D47" s="105"/>
      <c r="E47" s="301"/>
      <c r="F47" s="105"/>
      <c r="G47" s="127">
        <f>SUM(G31:G46)</f>
        <v>0</v>
      </c>
      <c r="H47" s="2"/>
      <c r="I47" s="2"/>
      <c r="J47" s="2"/>
      <c r="K47" s="132" t="s">
        <v>364</v>
      </c>
      <c r="L47" s="21"/>
      <c r="M47" s="302" t="s">
        <v>141</v>
      </c>
      <c r="N47" s="128"/>
      <c r="O47" s="105"/>
      <c r="P47" s="128"/>
      <c r="Q47" s="301"/>
      <c r="R47" s="105"/>
      <c r="S47" s="127">
        <f>SUM(S31:S46)</f>
        <v>0</v>
      </c>
      <c r="T47" s="2"/>
      <c r="U47" s="2"/>
      <c r="V47" s="2"/>
      <c r="W47" s="132" t="s">
        <v>364</v>
      </c>
      <c r="Y47" s="302" t="s">
        <v>141</v>
      </c>
      <c r="Z47" s="105"/>
      <c r="AA47" s="105"/>
      <c r="AB47" s="105"/>
      <c r="AC47" s="301"/>
      <c r="AD47" s="105"/>
      <c r="AE47" s="127">
        <f>SUM(AE31:AE46)</f>
        <v>0</v>
      </c>
      <c r="AF47" s="2"/>
      <c r="AG47" s="2"/>
      <c r="AH47" s="2"/>
      <c r="AI47" s="132" t="s">
        <v>364</v>
      </c>
    </row>
    <row r="48" spans="1:35" ht="16.5" thickTop="1">
      <c r="A48" s="82"/>
      <c r="B48" s="129"/>
      <c r="C48" s="110"/>
      <c r="D48" s="110"/>
      <c r="E48" s="110"/>
      <c r="F48" s="110"/>
      <c r="G48" s="108"/>
      <c r="H48" s="2"/>
      <c r="I48" s="2"/>
      <c r="J48" s="2"/>
      <c r="K48" s="751" t="s">
        <v>362</v>
      </c>
      <c r="L48" s="837"/>
      <c r="M48" s="82"/>
      <c r="N48" s="110"/>
      <c r="O48" s="110"/>
      <c r="P48" s="110"/>
      <c r="Q48" s="110"/>
      <c r="R48" s="110"/>
      <c r="S48" s="108"/>
      <c r="T48" s="2"/>
      <c r="U48" s="2"/>
      <c r="V48" s="2"/>
      <c r="W48" s="751" t="s">
        <v>362</v>
      </c>
      <c r="X48" s="837"/>
      <c r="Y48" s="82"/>
      <c r="Z48" s="110"/>
      <c r="AA48" s="110"/>
      <c r="AB48" s="110"/>
      <c r="AC48" s="110"/>
      <c r="AD48" s="110"/>
      <c r="AE48" s="108"/>
      <c r="AF48" s="2"/>
      <c r="AG48" s="2"/>
      <c r="AH48" s="2"/>
      <c r="AI48" s="751" t="s">
        <v>362</v>
      </c>
    </row>
    <row r="49" spans="1:35" ht="16.5" thickBot="1">
      <c r="A49" s="25"/>
      <c r="B49" s="22"/>
      <c r="C49" s="2"/>
      <c r="D49" s="2"/>
      <c r="E49" s="2"/>
      <c r="F49" s="2"/>
      <c r="G49" s="2"/>
      <c r="H49" s="2"/>
      <c r="I49" s="2"/>
      <c r="J49" s="2"/>
      <c r="K49" s="836"/>
      <c r="L49" s="837"/>
      <c r="M49" s="25"/>
      <c r="N49" s="2"/>
      <c r="O49" s="2"/>
      <c r="P49" s="2"/>
      <c r="Q49" s="2"/>
      <c r="R49" s="2"/>
      <c r="S49" s="2"/>
      <c r="T49" s="2"/>
      <c r="U49" s="2"/>
      <c r="V49" s="2"/>
      <c r="W49" s="836"/>
      <c r="X49" s="837"/>
      <c r="Y49" s="25"/>
      <c r="Z49" s="2"/>
      <c r="AA49" s="2"/>
      <c r="AB49" s="2"/>
      <c r="AC49" s="2"/>
      <c r="AD49" s="2"/>
      <c r="AE49" s="2"/>
      <c r="AF49" s="2"/>
      <c r="AG49" s="2"/>
      <c r="AH49" s="2"/>
      <c r="AI49" s="836"/>
    </row>
    <row r="50" spans="1:35" ht="16.5" customHeight="1" thickBot="1">
      <c r="A50" s="830" t="s">
        <v>689</v>
      </c>
      <c r="B50" s="831"/>
      <c r="C50" s="831"/>
      <c r="D50" s="831"/>
      <c r="E50" s="831"/>
      <c r="F50" s="831"/>
      <c r="G50" s="831"/>
      <c r="H50" s="831"/>
      <c r="I50" s="831"/>
      <c r="J50" s="831"/>
      <c r="K50" s="832"/>
      <c r="L50" s="59"/>
      <c r="M50" s="830" t="s">
        <v>689</v>
      </c>
      <c r="N50" s="831"/>
      <c r="O50" s="831"/>
      <c r="P50" s="831"/>
      <c r="Q50" s="831"/>
      <c r="R50" s="831"/>
      <c r="S50" s="831"/>
      <c r="T50" s="831"/>
      <c r="U50" s="831"/>
      <c r="V50" s="831"/>
      <c r="W50" s="832"/>
      <c r="X50" s="7"/>
      <c r="Y50" s="830" t="s">
        <v>689</v>
      </c>
      <c r="Z50" s="831"/>
      <c r="AA50" s="831"/>
      <c r="AB50" s="831"/>
      <c r="AC50" s="831"/>
      <c r="AD50" s="831"/>
      <c r="AE50" s="831"/>
      <c r="AF50" s="831"/>
      <c r="AG50" s="831"/>
      <c r="AH50" s="831"/>
      <c r="AI50" s="832"/>
    </row>
    <row r="51" spans="1:35" ht="47.25">
      <c r="A51" s="33" t="s">
        <v>138</v>
      </c>
      <c r="B51" s="34" t="s">
        <v>122</v>
      </c>
      <c r="C51" s="35" t="s">
        <v>123</v>
      </c>
      <c r="D51" s="36" t="s">
        <v>12</v>
      </c>
      <c r="E51" s="36" t="s">
        <v>124</v>
      </c>
      <c r="F51" s="34" t="s">
        <v>11</v>
      </c>
      <c r="G51" s="36" t="s">
        <v>125</v>
      </c>
      <c r="H51" s="2"/>
      <c r="I51" s="2"/>
      <c r="J51" s="2"/>
      <c r="K51" s="55"/>
      <c r="L51" s="67"/>
      <c r="M51" s="33" t="s">
        <v>138</v>
      </c>
      <c r="N51" s="34" t="s">
        <v>122</v>
      </c>
      <c r="O51" s="35" t="s">
        <v>123</v>
      </c>
      <c r="P51" s="36" t="s">
        <v>12</v>
      </c>
      <c r="Q51" s="36" t="s">
        <v>124</v>
      </c>
      <c r="R51" s="34" t="s">
        <v>11</v>
      </c>
      <c r="S51" s="36" t="s">
        <v>125</v>
      </c>
      <c r="T51" s="2"/>
      <c r="U51" s="2"/>
      <c r="V51" s="2"/>
      <c r="W51" s="55"/>
      <c r="X51"/>
      <c r="Y51" s="33" t="s">
        <v>138</v>
      </c>
      <c r="Z51" s="34" t="s">
        <v>122</v>
      </c>
      <c r="AA51" s="35" t="s">
        <v>123</v>
      </c>
      <c r="AB51" s="36" t="s">
        <v>12</v>
      </c>
      <c r="AC51" s="36" t="s">
        <v>124</v>
      </c>
      <c r="AD51" s="34" t="s">
        <v>11</v>
      </c>
      <c r="AE51" s="36" t="s">
        <v>125</v>
      </c>
      <c r="AF51" s="2"/>
      <c r="AG51" s="2"/>
      <c r="AH51" s="2"/>
      <c r="AI51" s="55"/>
    </row>
    <row r="52" spans="1:35" ht="15.75">
      <c r="A52" s="93" t="s">
        <v>348</v>
      </c>
      <c r="B52" s="54"/>
      <c r="C52" s="96"/>
      <c r="D52" s="42" t="s">
        <v>143</v>
      </c>
      <c r="E52" s="51" t="s">
        <v>143</v>
      </c>
      <c r="F52" s="47"/>
      <c r="G52" s="44"/>
      <c r="H52" s="2"/>
      <c r="I52" s="657" t="s">
        <v>112</v>
      </c>
      <c r="J52" s="657" t="s">
        <v>113</v>
      </c>
      <c r="K52" s="658" t="s">
        <v>114</v>
      </c>
      <c r="L52" s="2"/>
      <c r="M52" s="93" t="s">
        <v>348</v>
      </c>
      <c r="N52" s="54"/>
      <c r="O52" s="96"/>
      <c r="P52" s="42" t="s">
        <v>143</v>
      </c>
      <c r="Q52" s="51" t="s">
        <v>143</v>
      </c>
      <c r="R52" s="47"/>
      <c r="S52" s="44"/>
      <c r="T52" s="2"/>
      <c r="U52" s="657" t="s">
        <v>112</v>
      </c>
      <c r="V52" s="657" t="s">
        <v>113</v>
      </c>
      <c r="W52" s="658" t="s">
        <v>114</v>
      </c>
      <c r="X52" s="60"/>
      <c r="Y52" s="93" t="s">
        <v>348</v>
      </c>
      <c r="Z52" s="54"/>
      <c r="AA52" s="96"/>
      <c r="AB52" s="96" t="s">
        <v>143</v>
      </c>
      <c r="AC52" s="95" t="s">
        <v>143</v>
      </c>
      <c r="AD52" s="47"/>
      <c r="AE52" s="44"/>
      <c r="AF52" s="2"/>
      <c r="AG52" s="657" t="s">
        <v>112</v>
      </c>
      <c r="AH52" s="657" t="s">
        <v>113</v>
      </c>
      <c r="AI52" s="658" t="s">
        <v>114</v>
      </c>
    </row>
    <row r="53" spans="1:35" ht="15.75">
      <c r="A53" s="337" t="s">
        <v>13</v>
      </c>
      <c r="B53" s="18" t="str">
        <f>VLOOKUP(A53,'Fertilizer Products &amp; Pricing'!$A$4:$O$35,14,FALSE)</f>
        <v>None</v>
      </c>
      <c r="C53" s="119">
        <f>VLOOKUP(A53,'Fertilizer Products &amp; Pricing'!$A$4:$O$35,15,FALSE)</f>
        <v>0</v>
      </c>
      <c r="D53" s="120">
        <f>VLOOKUP(A53,'Fertilizer Products &amp; Pricing'!$A$4:$O$35,13,FALSE)</f>
        <v>1</v>
      </c>
      <c r="E53" s="303">
        <v>0</v>
      </c>
      <c r="F53" s="122">
        <f>VLOOKUP(A53,'Fertilizer Products &amp; Pricing'!$A$4:$O$35,12,FALSE)</f>
        <v>0</v>
      </c>
      <c r="G53" s="122">
        <f>(E53*VLOOKUP(A53,'Fertilizer Products &amp; Pricing'!$A$4:$O$35,11,FALSE)/D53)*C53</f>
        <v>0</v>
      </c>
      <c r="H53" s="2"/>
      <c r="I53" s="61">
        <f>VLOOKUP(A53,'Fertilizer Products &amp; Pricing'!$A$4:$O$35,2,FALSE)*E53+VLOOKUP(A54,'Fertilizer Products &amp; Pricing'!$A$4:$O$35,2,FALSE)*E54+VLOOKUP(A55,'Fertilizer Products &amp; Pricing'!$A$4:$O$35,2,FALSE)*E55+VLOOKUP(A56,'Fertilizer Products &amp; Pricing'!$A$4:$O$35,2,FALSE)*E56+VLOOKUP(A57,'Fertilizer Products &amp; Pricing'!$A$4:$O$35,2,FALSE)*E57+VLOOKUP(A58,'Fertilizer Products &amp; Pricing'!$A$4:$O$35,2,FALSE)*E58+VLOOKUP(A61,'Fertilizer Products &amp; Pricing'!$A$39:$O$52,2,FALSE)*E61+VLOOKUP(A62,'Fertilizer Products &amp; Pricing'!$A$39:$O$52,2,FALSE)*E62+VLOOKUP(A63,'Fertilizer Products &amp; Pricing'!$A$39:$O$52,2,FALSE)*E63+VLOOKUP(A64,'Fertilizer Products &amp; Pricing'!$A$39:$O$52,2,FALSE)*E64</f>
        <v>0</v>
      </c>
      <c r="J53" s="61">
        <f>VLOOKUP(A53,'Fertilizer Products &amp; Pricing'!$A$4:$O$35,3,FALSE)*E53+VLOOKUP(A54,'Fertilizer Products &amp; Pricing'!$A$4:$O$35,3,FALSE)*E54+VLOOKUP(A55,'Fertilizer Products &amp; Pricing'!$A$4:$O$35,3,FALSE)*E55+VLOOKUP(A56,'Fertilizer Products &amp; Pricing'!$A$4:$O$35,3,FALSE)*E56+VLOOKUP(A57,'Fertilizer Products &amp; Pricing'!$A$4:$O$35,3,FALSE)*E57+VLOOKUP(A58,'Fertilizer Products &amp; Pricing'!$A$4:$O$35,3,FALSE)*E58+VLOOKUP(A61,'Fertilizer Products &amp; Pricing'!$A$39:$O$52,3,FALSE)*E61+VLOOKUP(A62,'Fertilizer Products &amp; Pricing'!$A$39:$O$52,3,FALSE)*E62+VLOOKUP(A63,'Fertilizer Products &amp; Pricing'!$A$39:$O$52,3,FALSE)*E63+VLOOKUP(A64,'Fertilizer Products &amp; Pricing'!$A$39:$O$52,3,FALSE)*E64</f>
        <v>0</v>
      </c>
      <c r="K53" s="62">
        <f>VLOOKUP(A53,'Fertilizer Products &amp; Pricing'!$A$4:$O$35,4,FALSE)*E53+VLOOKUP(A54,'Fertilizer Products &amp; Pricing'!$A$4:$O$35,4,FALSE)*E54+VLOOKUP(A55,'Fertilizer Products &amp; Pricing'!$A$4:$O$35,4,FALSE)*E55+VLOOKUP(A56,'Fertilizer Products &amp; Pricing'!$A$4:$O$35,4,FALSE)*E56+VLOOKUP(A57,'Fertilizer Products &amp; Pricing'!$A$4:$O$35,4,FALSE)*E57+VLOOKUP(A58,'Fertilizer Products &amp; Pricing'!$A$4:$O$35,4,FALSE)*E58+VLOOKUP(A61,'Fertilizer Products &amp; Pricing'!$A$39:$O$52,4,FALSE)*E61+VLOOKUP(A62,'Fertilizer Products &amp; Pricing'!$A$39:$O$52,4,FALSE)*E62+VLOOKUP(A63,'Fertilizer Products &amp; Pricing'!$A$39:$O$52,4,FALSE)*E63+VLOOKUP(A64,'Fertilizer Products &amp; Pricing'!$A$39:$O$52,4,FALSE)*E64</f>
        <v>0</v>
      </c>
      <c r="L53" s="22"/>
      <c r="M53" s="337" t="s">
        <v>13</v>
      </c>
      <c r="N53" s="18" t="str">
        <f>VLOOKUP(M53,'Fertilizer Products &amp; Pricing'!$A$4:$O$35,14,FALSE)</f>
        <v>None</v>
      </c>
      <c r="O53" s="119">
        <f>VLOOKUP(M53,'Fertilizer Products &amp; Pricing'!$A$4:$O$35,15,FALSE)</f>
        <v>0</v>
      </c>
      <c r="P53" s="120">
        <f>VLOOKUP(M53,'Fertilizer Products &amp; Pricing'!$A$4:$O$35,13,FALSE)</f>
        <v>1</v>
      </c>
      <c r="Q53" s="303">
        <v>0</v>
      </c>
      <c r="R53" s="122">
        <f>VLOOKUP(M53,'Fertilizer Products &amp; Pricing'!$A$4:$O$35,12,FALSE)</f>
        <v>0</v>
      </c>
      <c r="S53" s="122">
        <f>(Q53*VLOOKUP(M53,'Fertilizer Products &amp; Pricing'!$A$4:$O$35,11,FALSE)/P53)*O53</f>
        <v>0</v>
      </c>
      <c r="T53" s="2"/>
      <c r="U53" s="61">
        <f>VLOOKUP(M53,'Fertilizer Products &amp; Pricing'!$A$4:$O$35,2,FALSE)*Q53+VLOOKUP(M54,'Fertilizer Products &amp; Pricing'!$A$4:$O$35,2,FALSE)*Q54+VLOOKUP(M55,'Fertilizer Products &amp; Pricing'!$A$4:$O$35,2,FALSE)*Q55+VLOOKUP(M56,'Fertilizer Products &amp; Pricing'!$A$4:$O$35,2,FALSE)*Q56+VLOOKUP(M57,'Fertilizer Products &amp; Pricing'!$A$4:$O$35,2,FALSE)*Q57+VLOOKUP(M58,'Fertilizer Products &amp; Pricing'!$A$4:$O$35,2,FALSE)*Q58+VLOOKUP(M61,'Fertilizer Products &amp; Pricing'!$A$39:$O$52,2,FALSE)*Q61+VLOOKUP(M62,'Fertilizer Products &amp; Pricing'!$A$39:$O$52,2,FALSE)*Q62+VLOOKUP(M63,'Fertilizer Products &amp; Pricing'!$A$39:$O$52,2,FALSE)*Q63+VLOOKUP(M64,'Fertilizer Products &amp; Pricing'!$A$39:$O$52,2,FALSE)*Q64</f>
        <v>0</v>
      </c>
      <c r="V53" s="61">
        <f>VLOOKUP(M53,'Fertilizer Products &amp; Pricing'!$A$4:$O$35,3,FALSE)*Q53+VLOOKUP(M54,'Fertilizer Products &amp; Pricing'!$A$4:$O$35,3,FALSE)*Q54+VLOOKUP(M55,'Fertilizer Products &amp; Pricing'!$A$4:$O$35,3,FALSE)*Q55+VLOOKUP(M56,'Fertilizer Products &amp; Pricing'!$A$4:$O$35,3,FALSE)*Q56+VLOOKUP(M57,'Fertilizer Products &amp; Pricing'!$A$4:$O$35,3,FALSE)*Q57+VLOOKUP(M58,'Fertilizer Products &amp; Pricing'!$A$4:$O$35,3,FALSE)*Q58+VLOOKUP(M61,'Fertilizer Products &amp; Pricing'!$A$39:$O$52,3,FALSE)*Q61+VLOOKUP(M62,'Fertilizer Products &amp; Pricing'!$A$39:$O$52,3,FALSE)*Q62+VLOOKUP(M63,'Fertilizer Products &amp; Pricing'!$A$39:$O$52,3,FALSE)*Q63+VLOOKUP(M64,'Fertilizer Products &amp; Pricing'!$A$39:$O$52,3,FALSE)*Q64</f>
        <v>0</v>
      </c>
      <c r="W53" s="62">
        <f>VLOOKUP(M53,'Fertilizer Products &amp; Pricing'!$A$4:$O$35,4,FALSE)*Q53+VLOOKUP(M54,'Fertilizer Products &amp; Pricing'!$A$4:$O$35,4,FALSE)*Q54+VLOOKUP(M55,'Fertilizer Products &amp; Pricing'!$A$4:$O$35,4,FALSE)*Q55+VLOOKUP(M56,'Fertilizer Products &amp; Pricing'!$A$4:$O$35,4,FALSE)*Q56+VLOOKUP(M57,'Fertilizer Products &amp; Pricing'!$A$4:$O$35,4,FALSE)*Q57+VLOOKUP(M58,'Fertilizer Products &amp; Pricing'!$A$4:$O$35,4,FALSE)*Q58+VLOOKUP(M61,'Fertilizer Products &amp; Pricing'!$A$39:$O$52,4,FALSE)*Q61+VLOOKUP(M62,'Fertilizer Products &amp; Pricing'!$A$39:$O$52,4,FALSE)*Q62+VLOOKUP(M63,'Fertilizer Products &amp; Pricing'!$A$39:$O$52,4,FALSE)*Q63+VLOOKUP(M64,'Fertilizer Products &amp; Pricing'!$A$39:$O$52,4,FALSE)*Q64</f>
        <v>0</v>
      </c>
      <c r="X53" s="21"/>
      <c r="Y53" s="337" t="s">
        <v>13</v>
      </c>
      <c r="Z53" s="18" t="str">
        <f>VLOOKUP(Y53,'Fertilizer Products &amp; Pricing'!$A$4:$O$35,14,FALSE)</f>
        <v>None</v>
      </c>
      <c r="AA53" s="119">
        <f>VLOOKUP(Y53,'Fertilizer Products &amp; Pricing'!$A$4:$O$35,15,FALSE)</f>
        <v>0</v>
      </c>
      <c r="AB53" s="120">
        <f>VLOOKUP(Y53,'Fertilizer Products &amp; Pricing'!$A$4:$O$35,13,FALSE)</f>
        <v>1</v>
      </c>
      <c r="AC53" s="303">
        <v>0</v>
      </c>
      <c r="AD53" s="122">
        <f>VLOOKUP(Y53,'Fertilizer Products &amp; Pricing'!$A$4:$O$35,12,FALSE)</f>
        <v>0</v>
      </c>
      <c r="AE53" s="122">
        <f>(AC53*VLOOKUP(Y53,'Fertilizer Products &amp; Pricing'!$A$4:$O$35,11,FALSE)/AB53)*AA53</f>
        <v>0</v>
      </c>
      <c r="AF53" s="2"/>
      <c r="AG53" s="61">
        <f>VLOOKUP(Y53,'Fertilizer Products &amp; Pricing'!$A$4:$O$35,2,FALSE)*AC53+VLOOKUP(Y54,'Fertilizer Products &amp; Pricing'!$A$4:$O$35,2,FALSE)*AC54+VLOOKUP(Y55,'Fertilizer Products &amp; Pricing'!$A$4:$O$35,2,FALSE)*AC55+VLOOKUP(Y56,'Fertilizer Products &amp; Pricing'!$A$4:$O$35,2,FALSE)*AC56+VLOOKUP(Y57,'Fertilizer Products &amp; Pricing'!$A$4:$O$35,2,FALSE)*AC57+VLOOKUP(Y58,'Fertilizer Products &amp; Pricing'!$A$4:$O$35,2,FALSE)*AC58+VLOOKUP(Y61,'Fertilizer Products &amp; Pricing'!$A$39:$O$52,2,FALSE)*AC61+VLOOKUP(Y62,'Fertilizer Products &amp; Pricing'!$A$39:$O$52,2,FALSE)*AC62+VLOOKUP(Y63,'Fertilizer Products &amp; Pricing'!$A$39:$O$52,2,FALSE)*AC63+VLOOKUP(Y64,'Fertilizer Products &amp; Pricing'!$A$39:$O$52,2,FALSE)*AC64</f>
        <v>0</v>
      </c>
      <c r="AH53" s="61">
        <f>VLOOKUP(Y53,'Fertilizer Products &amp; Pricing'!$A$4:$O$35,3,FALSE)*AC53+VLOOKUP(Y54,'Fertilizer Products &amp; Pricing'!$A$4:$O$35,3,FALSE)*AC54+VLOOKUP(Y55,'Fertilizer Products &amp; Pricing'!$A$4:$O$35,3,FALSE)*AC55+VLOOKUP(Y56,'Fertilizer Products &amp; Pricing'!$A$4:$O$35,3,FALSE)*AC56+VLOOKUP(Y57,'Fertilizer Products &amp; Pricing'!$A$4:$O$35,3,FALSE)*AC57+VLOOKUP(Y58,'Fertilizer Products &amp; Pricing'!$A$4:$O$35,3,FALSE)*AC58+VLOOKUP(Y61,'Fertilizer Products &amp; Pricing'!$A$39:$O$52,3,FALSE)*AC61+VLOOKUP(Y62,'Fertilizer Products &amp; Pricing'!$A$39:$O$52,3,FALSE)*AC62+VLOOKUP(Y63,'Fertilizer Products &amp; Pricing'!$A$39:$O$52,3,FALSE)*AC63+VLOOKUP(Y64,'Fertilizer Products &amp; Pricing'!$A$39:$O$52,3,FALSE)*AC64</f>
        <v>0</v>
      </c>
      <c r="AI53" s="62">
        <f>VLOOKUP(Y53,'Fertilizer Products &amp; Pricing'!$A$4:$O$35,4,FALSE)*AC53+VLOOKUP(Y54,'Fertilizer Products &amp; Pricing'!$A$4:$O$35,4,FALSE)*AC54+VLOOKUP(Y55,'Fertilizer Products &amp; Pricing'!$A$4:$O$35,4,FALSE)*AC55+VLOOKUP(Y56,'Fertilizer Products &amp; Pricing'!$A$4:$O$35,4,FALSE)*AC56+VLOOKUP(Y57,'Fertilizer Products &amp; Pricing'!$A$4:$O$35,4,FALSE)*AC57+VLOOKUP(Y58,'Fertilizer Products &amp; Pricing'!$A$4:$O$35,4,FALSE)*AC58+VLOOKUP(Y61,'Fertilizer Products &amp; Pricing'!$A$39:$O$52,4,FALSE)*AC61+VLOOKUP(Y62,'Fertilizer Products &amp; Pricing'!$A$39:$O$52,4,FALSE)*AC62+VLOOKUP(Y63,'Fertilizer Products &amp; Pricing'!$A$39:$O$52,4,FALSE)*AC63+VLOOKUP(Y64,'Fertilizer Products &amp; Pricing'!$A$39:$O$52,4,FALSE)*AC64</f>
        <v>0</v>
      </c>
    </row>
    <row r="54" spans="1:35" ht="15.75">
      <c r="A54" s="337" t="s">
        <v>13</v>
      </c>
      <c r="B54" s="18" t="str">
        <f>VLOOKUP(A54,'Fertilizer Products &amp; Pricing'!$A$4:$O$35,14,FALSE)</f>
        <v>None</v>
      </c>
      <c r="C54" s="119">
        <f>VLOOKUP(A54,'Fertilizer Products &amp; Pricing'!$A$4:$O$35,15,FALSE)</f>
        <v>0</v>
      </c>
      <c r="D54" s="120">
        <f>VLOOKUP(A54,'Fertilizer Products &amp; Pricing'!$A$4:$O$35,13,FALSE)</f>
        <v>1</v>
      </c>
      <c r="E54" s="303">
        <v>0</v>
      </c>
      <c r="F54" s="122">
        <f>VLOOKUP(A54,'Fertilizer Products &amp; Pricing'!$A$4:$O$35,12,FALSE)</f>
        <v>0</v>
      </c>
      <c r="G54" s="122">
        <f>(E54*VLOOKUP(A54,'Fertilizer Products &amp; Pricing'!$A$4:$O$35,11,FALSE)/D54)*C54</f>
        <v>0</v>
      </c>
      <c r="H54" s="2"/>
      <c r="I54" s="63"/>
      <c r="J54" s="63"/>
      <c r="K54" s="64"/>
      <c r="L54" s="22"/>
      <c r="M54" s="337" t="s">
        <v>13</v>
      </c>
      <c r="N54" s="18" t="str">
        <f>VLOOKUP(M54,'Fertilizer Products &amp; Pricing'!$A$4:$O$35,14,FALSE)</f>
        <v>None</v>
      </c>
      <c r="O54" s="119">
        <f>VLOOKUP(M54,'Fertilizer Products &amp; Pricing'!$A$4:$O$35,15,FALSE)</f>
        <v>0</v>
      </c>
      <c r="P54" s="120">
        <f>VLOOKUP(M54,'Fertilizer Products &amp; Pricing'!$A$4:$O$35,13,FALSE)</f>
        <v>1</v>
      </c>
      <c r="Q54" s="303">
        <v>0</v>
      </c>
      <c r="R54" s="122">
        <f>VLOOKUP(M54,'Fertilizer Products &amp; Pricing'!$A$4:$O$35,12,FALSE)</f>
        <v>0</v>
      </c>
      <c r="S54" s="122">
        <f>(Q54*VLOOKUP(M54,'Fertilizer Products &amp; Pricing'!$A$4:$O$35,11,FALSE)/P54)*O54</f>
        <v>0</v>
      </c>
      <c r="T54" s="2"/>
      <c r="U54" s="63"/>
      <c r="V54" s="63"/>
      <c r="W54" s="64"/>
      <c r="X54" s="58"/>
      <c r="Y54" s="337" t="s">
        <v>13</v>
      </c>
      <c r="Z54" s="18" t="str">
        <f>VLOOKUP(Y54,'Fertilizer Products &amp; Pricing'!$A$4:$O$35,14,FALSE)</f>
        <v>None</v>
      </c>
      <c r="AA54" s="119">
        <f>VLOOKUP(Y54,'Fertilizer Products &amp; Pricing'!$A$4:$O$35,15,FALSE)</f>
        <v>0</v>
      </c>
      <c r="AB54" s="120">
        <f>VLOOKUP(Y54,'Fertilizer Products &amp; Pricing'!$A$4:$O$35,13,FALSE)</f>
        <v>1</v>
      </c>
      <c r="AC54" s="303">
        <v>0</v>
      </c>
      <c r="AD54" s="122">
        <f>VLOOKUP(Y54,'Fertilizer Products &amp; Pricing'!$A$4:$O$35,12,FALSE)</f>
        <v>0</v>
      </c>
      <c r="AE54" s="122">
        <f>(AC54*VLOOKUP(Y54,'Fertilizer Products &amp; Pricing'!$A$4:$O$35,11,FALSE)/AB54)*AA54</f>
        <v>0</v>
      </c>
      <c r="AF54" s="2"/>
      <c r="AG54" s="63"/>
      <c r="AH54" s="63"/>
      <c r="AI54" s="64"/>
    </row>
    <row r="55" spans="1:35" ht="15.75">
      <c r="A55" s="337" t="s">
        <v>13</v>
      </c>
      <c r="B55" s="18" t="str">
        <f>VLOOKUP(A55,'Fertilizer Products &amp; Pricing'!$A$4:$O$35,14,FALSE)</f>
        <v>None</v>
      </c>
      <c r="C55" s="119">
        <f>VLOOKUP(A55,'Fertilizer Products &amp; Pricing'!$A$4:$O$35,15,FALSE)</f>
        <v>0</v>
      </c>
      <c r="D55" s="120">
        <f>VLOOKUP(A55,'Fertilizer Products &amp; Pricing'!$A$4:$O$35,13,FALSE)</f>
        <v>1</v>
      </c>
      <c r="E55" s="303">
        <v>0</v>
      </c>
      <c r="F55" s="122">
        <f>VLOOKUP(A55,'Fertilizer Products &amp; Pricing'!$A$4:$O$35,12,FALSE)</f>
        <v>0</v>
      </c>
      <c r="G55" s="122">
        <f>(E55*VLOOKUP(A55,'Fertilizer Products &amp; Pricing'!$A$4:$O$35,11,FALSE)/D55)*C55</f>
        <v>0</v>
      </c>
      <c r="H55" s="2"/>
      <c r="I55" s="657" t="s">
        <v>115</v>
      </c>
      <c r="J55" s="657" t="s">
        <v>116</v>
      </c>
      <c r="K55" s="658" t="s">
        <v>117</v>
      </c>
      <c r="L55" s="22"/>
      <c r="M55" s="337" t="s">
        <v>13</v>
      </c>
      <c r="N55" s="18" t="str">
        <f>VLOOKUP(M55,'Fertilizer Products &amp; Pricing'!$A$4:$O$35,14,FALSE)</f>
        <v>None</v>
      </c>
      <c r="O55" s="119">
        <f>VLOOKUP(M55,'Fertilizer Products &amp; Pricing'!$A$4:$O$35,15,FALSE)</f>
        <v>0</v>
      </c>
      <c r="P55" s="120">
        <f>VLOOKUP(M55,'Fertilizer Products &amp; Pricing'!$A$4:$O$35,13,FALSE)</f>
        <v>1</v>
      </c>
      <c r="Q55" s="303">
        <v>0</v>
      </c>
      <c r="R55" s="122">
        <f>VLOOKUP(M55,'Fertilizer Products &amp; Pricing'!$A$4:$O$35,12,FALSE)</f>
        <v>0</v>
      </c>
      <c r="S55" s="122">
        <f>(Q55*VLOOKUP(M55,'Fertilizer Products &amp; Pricing'!$A$4:$O$35,11,FALSE)/P55)*O55</f>
        <v>0</v>
      </c>
      <c r="T55" s="2"/>
      <c r="U55" s="657" t="s">
        <v>115</v>
      </c>
      <c r="V55" s="657" t="s">
        <v>116</v>
      </c>
      <c r="W55" s="658" t="s">
        <v>117</v>
      </c>
      <c r="X55" s="57"/>
      <c r="Y55" s="337" t="s">
        <v>13</v>
      </c>
      <c r="Z55" s="18" t="str">
        <f>VLOOKUP(Y55,'Fertilizer Products &amp; Pricing'!$A$4:$O$35,14,FALSE)</f>
        <v>None</v>
      </c>
      <c r="AA55" s="119">
        <f>VLOOKUP(Y55,'Fertilizer Products &amp; Pricing'!$A$4:$O$35,15,FALSE)</f>
        <v>0</v>
      </c>
      <c r="AB55" s="120">
        <f>VLOOKUP(Y55,'Fertilizer Products &amp; Pricing'!$A$4:$O$35,13,FALSE)</f>
        <v>1</v>
      </c>
      <c r="AC55" s="303">
        <v>0</v>
      </c>
      <c r="AD55" s="122">
        <f>VLOOKUP(Y55,'Fertilizer Products &amp; Pricing'!$A$4:$O$35,12,FALSE)</f>
        <v>0</v>
      </c>
      <c r="AE55" s="122">
        <f>(AC55*VLOOKUP(Y55,'Fertilizer Products &amp; Pricing'!$A$4:$O$35,11,FALSE)/AB55)*AA55</f>
        <v>0</v>
      </c>
      <c r="AF55" s="2"/>
      <c r="AG55" s="657" t="s">
        <v>115</v>
      </c>
      <c r="AH55" s="657" t="s">
        <v>116</v>
      </c>
      <c r="AI55" s="658" t="s">
        <v>117</v>
      </c>
    </row>
    <row r="56" spans="1:35" ht="15.75">
      <c r="A56" s="337" t="s">
        <v>13</v>
      </c>
      <c r="B56" s="18" t="str">
        <f>VLOOKUP(A56,'Fertilizer Products &amp; Pricing'!$A$4:$O$35,14,FALSE)</f>
        <v>None</v>
      </c>
      <c r="C56" s="119">
        <f>VLOOKUP(A56,'Fertilizer Products &amp; Pricing'!$A$4:$O$35,15,FALSE)</f>
        <v>0</v>
      </c>
      <c r="D56" s="120">
        <f>VLOOKUP(A56,'Fertilizer Products &amp; Pricing'!$A$4:$O$35,13,FALSE)</f>
        <v>1</v>
      </c>
      <c r="E56" s="303">
        <v>0</v>
      </c>
      <c r="F56" s="122">
        <f>VLOOKUP(A56,'Fertilizer Products &amp; Pricing'!$A$4:$O$35,12,FALSE)</f>
        <v>0</v>
      </c>
      <c r="G56" s="122">
        <f>(E56*VLOOKUP(A56,'Fertilizer Products &amp; Pricing'!$A$4:$O$35,11,FALSE)/D56)*C56</f>
        <v>0</v>
      </c>
      <c r="H56" s="2"/>
      <c r="I56" s="61">
        <f>VLOOKUP(A53,'Fertilizer Products &amp; Pricing'!$A$4:$O$35,5,FALSE)*E53+VLOOKUP(A54,'Fertilizer Products &amp; Pricing'!$A$4:$O$35,5,FALSE)*E54+VLOOKUP(A55,'Fertilizer Products &amp; Pricing'!$A$4:$O$35,5,FALSE)*E55+VLOOKUP(A56,'Fertilizer Products &amp; Pricing'!$A$4:$O$35,5,FALSE)*E56+VLOOKUP(A57,'Fertilizer Products &amp; Pricing'!$A$4:$O$35,5,FALSE)*E57+VLOOKUP(A58,'Fertilizer Products &amp; Pricing'!$A$4:$O$35,5,FALSE)*E58+VLOOKUP(A61,'Fertilizer Products &amp; Pricing'!$A$39:$O$52,5,FALSE)*E61+VLOOKUP(A62,'Fertilizer Products &amp; Pricing'!$A$39:$O$52,5,FALSE)*E62+VLOOKUP(A63,'Fertilizer Products &amp; Pricing'!$A$39:$O$52,5,FALSE)*E63+VLOOKUP(A64,'Fertilizer Products &amp; Pricing'!$A$39:$O$52,5,FALSE)*E64</f>
        <v>0</v>
      </c>
      <c r="J56" s="61">
        <f>VLOOKUP(A53,'Fertilizer Products &amp; Pricing'!$A$4:$O$35,7,FALSE)*E53+VLOOKUP(A54,'Fertilizer Products &amp; Pricing'!$A$4:$O$35,7,FALSE)*E54+VLOOKUP(A55,'Fertilizer Products &amp; Pricing'!$A$4:$O$35,7,FALSE)*E55+VLOOKUP(A56,'Fertilizer Products &amp; Pricing'!$A$4:$O$35,7,FALSE)*E56+VLOOKUP(A57,'Fertilizer Products &amp; Pricing'!$A$4:$O$35,7,FALSE)*E57+VLOOKUP(A58,'Fertilizer Products &amp; Pricing'!$A$4:$O$35,7,FALSE)*E58+VLOOKUP(A61,'Fertilizer Products &amp; Pricing'!$A$39:$O$52,7,FALSE)*E61+VLOOKUP(A62,'Fertilizer Products &amp; Pricing'!$A$39:$O$52,7,FALSE)*E62+VLOOKUP(A63,'Fertilizer Products &amp; Pricing'!$A$39:$O$52,7,FALSE)*E63+VLOOKUP(A64,'Fertilizer Products &amp; Pricing'!$A$39:$O$52,7,FALSE)*E64</f>
        <v>0</v>
      </c>
      <c r="K56" s="62">
        <f>VLOOKUP(A53,'Fertilizer Products &amp; Pricing'!$A$4:$O$35,6,FALSE)*E53+VLOOKUP(A54,'Fertilizer Products &amp; Pricing'!$A$4:$O$35,6,FALSE)*E54+VLOOKUP(A55,'Fertilizer Products &amp; Pricing'!$A$4:$O$35,6,FALSE)*E55+VLOOKUP(A56,'Fertilizer Products &amp; Pricing'!$A$4:$O$35,6,FALSE)*E56+VLOOKUP(A57,'Fertilizer Products &amp; Pricing'!$A$4:$O$35,6,FALSE)*E57+VLOOKUP(A58,'Fertilizer Products &amp; Pricing'!$A$4:$O$35,6,FALSE)*E58+VLOOKUP(A61,'Fertilizer Products &amp; Pricing'!$A$39:$O$52,6,FALSE)*E61+VLOOKUP(A62,'Fertilizer Products &amp; Pricing'!$A$39:$O$52,6,FALSE)*E62+VLOOKUP(A63,'Fertilizer Products &amp; Pricing'!$A$39:$O$52,6,FALSE)*E63+VLOOKUP(A64,'Fertilizer Products &amp; Pricing'!$A$39:$O$52,6,FALSE)*E64</f>
        <v>0</v>
      </c>
      <c r="L56" s="22"/>
      <c r="M56" s="337" t="s">
        <v>13</v>
      </c>
      <c r="N56" s="18" t="str">
        <f>VLOOKUP(M56,'Fertilizer Products &amp; Pricing'!$A$4:$O$35,14,FALSE)</f>
        <v>None</v>
      </c>
      <c r="O56" s="119">
        <f>VLOOKUP(M56,'Fertilizer Products &amp; Pricing'!$A$4:$O$35,15,FALSE)</f>
        <v>0</v>
      </c>
      <c r="P56" s="120">
        <f>VLOOKUP(M56,'Fertilizer Products &amp; Pricing'!$A$4:$O$35,13,FALSE)</f>
        <v>1</v>
      </c>
      <c r="Q56" s="303">
        <v>0</v>
      </c>
      <c r="R56" s="122">
        <f>VLOOKUP(M56,'Fertilizer Products &amp; Pricing'!$A$4:$O$35,12,FALSE)</f>
        <v>0</v>
      </c>
      <c r="S56" s="122">
        <f>(Q56*VLOOKUP(M56,'Fertilizer Products &amp; Pricing'!$A$4:$O$35,11,FALSE)/P56)*O56</f>
        <v>0</v>
      </c>
      <c r="T56" s="2"/>
      <c r="U56" s="61">
        <f>VLOOKUP(M53,'Fertilizer Products &amp; Pricing'!$A$4:$O$35,5,FALSE)*Q53+VLOOKUP(M54,'Fertilizer Products &amp; Pricing'!$A$4:$O$35,5,FALSE)*Q54+VLOOKUP(M55,'Fertilizer Products &amp; Pricing'!$A$4:$O$35,5,FALSE)*Q55+VLOOKUP(M56,'Fertilizer Products &amp; Pricing'!$A$4:$O$35,5,FALSE)*Q56+VLOOKUP(M57,'Fertilizer Products &amp; Pricing'!$A$4:$O$35,5,FALSE)*Q57+VLOOKUP(M58,'Fertilizer Products &amp; Pricing'!$A$4:$O$35,5,FALSE)*Q58+VLOOKUP(M61,'Fertilizer Products &amp; Pricing'!$A$39:$O$52,5,FALSE)*Q61+VLOOKUP(M62,'Fertilizer Products &amp; Pricing'!$A$39:$O$52,5,FALSE)*Q62+VLOOKUP(M63,'Fertilizer Products &amp; Pricing'!$A$39:$O$52,5,FALSE)*Q63+VLOOKUP(M64,'Fertilizer Products &amp; Pricing'!$A$39:$O$52,5,FALSE)*Q64</f>
        <v>0</v>
      </c>
      <c r="V56" s="61">
        <f>VLOOKUP(M53,'Fertilizer Products &amp; Pricing'!$A$4:$O$35,7,FALSE)*Q53+VLOOKUP(M54,'Fertilizer Products &amp; Pricing'!$A$4:$O$35,7,FALSE)*Q54+VLOOKUP(M55,'Fertilizer Products &amp; Pricing'!$A$4:$O$35,7,FALSE)*Q55+VLOOKUP(M56,'Fertilizer Products &amp; Pricing'!$A$4:$O$35,7,FALSE)*Q56+VLOOKUP(M57,'Fertilizer Products &amp; Pricing'!$A$4:$O$35,7,FALSE)*Q57+VLOOKUP(M58,'Fertilizer Products &amp; Pricing'!$A$4:$O$35,7,FALSE)*Q58+VLOOKUP(M61,'Fertilizer Products &amp; Pricing'!$A$39:$O$52,7,FALSE)*Q61+VLOOKUP(M62,'Fertilizer Products &amp; Pricing'!$A$39:$O$52,7,FALSE)*Q62+VLOOKUP(M63,'Fertilizer Products &amp; Pricing'!$A$39:$O$52,7,FALSE)*Q63+VLOOKUP(M64,'Fertilizer Products &amp; Pricing'!$A$39:$O$52,7,FALSE)*Q64</f>
        <v>0</v>
      </c>
      <c r="W56" s="62">
        <f>VLOOKUP(M53,'Fertilizer Products &amp; Pricing'!$A$4:$O$35,6,FALSE)*Q53+VLOOKUP(M54,'Fertilizer Products &amp; Pricing'!$A$4:$O$35,6,FALSE)*Q54+VLOOKUP(M55,'Fertilizer Products &amp; Pricing'!$A$4:$O$35,6,FALSE)*Q55+VLOOKUP(M56,'Fertilizer Products &amp; Pricing'!$A$4:$O$35,6,FALSE)*Q56+VLOOKUP(M57,'Fertilizer Products &amp; Pricing'!$A$4:$O$35,6,FALSE)*Q57+VLOOKUP(M58,'Fertilizer Products &amp; Pricing'!$A$4:$O$35,6,FALSE)*Q58+VLOOKUP(M61,'Fertilizer Products &amp; Pricing'!$A$39:$O$52,6,FALSE)*Q61+VLOOKUP(M62,'Fertilizer Products &amp; Pricing'!$A$39:$O$52,6,FALSE)*Q62+VLOOKUP(M63,'Fertilizer Products &amp; Pricing'!$A$39:$O$52,6,FALSE)*Q63+VLOOKUP(M64,'Fertilizer Products &amp; Pricing'!$A$39:$O$52,6,FALSE)*Q64</f>
        <v>0</v>
      </c>
      <c r="X56" s="21"/>
      <c r="Y56" s="337" t="s">
        <v>13</v>
      </c>
      <c r="Z56" s="18" t="str">
        <f>VLOOKUP(Y56,'Fertilizer Products &amp; Pricing'!$A$4:$O$35,14,FALSE)</f>
        <v>None</v>
      </c>
      <c r="AA56" s="119">
        <f>VLOOKUP(Y56,'Fertilizer Products &amp; Pricing'!$A$4:$O$35,15,FALSE)</f>
        <v>0</v>
      </c>
      <c r="AB56" s="120">
        <f>VLOOKUP(Y56,'Fertilizer Products &amp; Pricing'!$A$4:$O$35,13,FALSE)</f>
        <v>1</v>
      </c>
      <c r="AC56" s="303">
        <v>0</v>
      </c>
      <c r="AD56" s="122">
        <f>VLOOKUP(Y56,'Fertilizer Products &amp; Pricing'!$A$4:$O$35,12,FALSE)</f>
        <v>0</v>
      </c>
      <c r="AE56" s="122">
        <f>(AC56*VLOOKUP(Y56,'Fertilizer Products &amp; Pricing'!$A$4:$O$35,11,FALSE)/AB56)*AA56</f>
        <v>0</v>
      </c>
      <c r="AF56" s="2"/>
      <c r="AG56" s="61">
        <f>VLOOKUP(Y53,'Fertilizer Products &amp; Pricing'!$A$4:$O$35,5,FALSE)*AC53+VLOOKUP(Y54,'Fertilizer Products &amp; Pricing'!$A$4:$O$35,5,FALSE)*AC54+VLOOKUP(Y55,'Fertilizer Products &amp; Pricing'!$A$4:$O$35,5,FALSE)*AC55+VLOOKUP(Y56,'Fertilizer Products &amp; Pricing'!$A$4:$O$35,5,FALSE)*AC56+VLOOKUP(Y57,'Fertilizer Products &amp; Pricing'!$A$4:$O$35,5,FALSE)*AC57+VLOOKUP(Y58,'Fertilizer Products &amp; Pricing'!$A$4:$O$35,5,FALSE)*AC58+VLOOKUP(Y61,'Fertilizer Products &amp; Pricing'!$A$39:$O$52,5,FALSE)*AC61+VLOOKUP(Y62,'Fertilizer Products &amp; Pricing'!$A$39:$O$52,5,FALSE)*AC62+VLOOKUP(Y63,'Fertilizer Products &amp; Pricing'!$A$39:$O$52,5,FALSE)*AC63+VLOOKUP(Y64,'Fertilizer Products &amp; Pricing'!$A$39:$O$52,5,FALSE)*AC64</f>
        <v>0</v>
      </c>
      <c r="AH56" s="61">
        <f>VLOOKUP(Y53,'Fertilizer Products &amp; Pricing'!$A$4:$O$35,7,FALSE)*AC53+VLOOKUP(Y54,'Fertilizer Products &amp; Pricing'!$A$4:$O$35,7,FALSE)*AC54+VLOOKUP(Y55,'Fertilizer Products &amp; Pricing'!$A$4:$O$35,7,FALSE)*AC55+VLOOKUP(Y56,'Fertilizer Products &amp; Pricing'!$A$4:$O$35,7,FALSE)*AC56+VLOOKUP(Y57,'Fertilizer Products &amp; Pricing'!$A$4:$O$35,7,FALSE)*AC57+VLOOKUP(Y58,'Fertilizer Products &amp; Pricing'!$A$4:$O$35,7,FALSE)*AC58+VLOOKUP(Y61,'Fertilizer Products &amp; Pricing'!$A$39:$O$52,7,FALSE)*AC61+VLOOKUP(Y62,'Fertilizer Products &amp; Pricing'!$A$39:$O$52,7,FALSE)*AC62+VLOOKUP(Y63,'Fertilizer Products &amp; Pricing'!$A$39:$O$52,7,FALSE)*AC63+VLOOKUP(Y64,'Fertilizer Products &amp; Pricing'!$A$39:$O$52,7,FALSE)*AC64</f>
        <v>0</v>
      </c>
      <c r="AI56" s="62">
        <f>VLOOKUP(Y53,'Fertilizer Products &amp; Pricing'!$A$4:$O$35,6,FALSE)*AC53+VLOOKUP(Y54,'Fertilizer Products &amp; Pricing'!$A$4:$O$35,6,FALSE)*AC54+VLOOKUP(Y55,'Fertilizer Products &amp; Pricing'!$A$4:$O$35,6,FALSE)*AC55+VLOOKUP(Y56,'Fertilizer Products &amp; Pricing'!$A$4:$O$35,6,FALSE)*AC56+VLOOKUP(Y57,'Fertilizer Products &amp; Pricing'!$A$4:$O$35,6,FALSE)*AC57+VLOOKUP(Y58,'Fertilizer Products &amp; Pricing'!$A$4:$O$35,6,FALSE)*AC58+VLOOKUP(Y61,'Fertilizer Products &amp; Pricing'!$A$39:$O$52,6,FALSE)*AC61+VLOOKUP(Y62,'Fertilizer Products &amp; Pricing'!$A$39:$O$52,6,FALSE)*AC62+VLOOKUP(Y63,'Fertilizer Products &amp; Pricing'!$A$39:$O$52,6,FALSE)*AC63+VLOOKUP(Y64,'Fertilizer Products &amp; Pricing'!$A$39:$O$52,6,FALSE)*AC64</f>
        <v>0</v>
      </c>
    </row>
    <row r="57" spans="1:35" ht="15.75">
      <c r="A57" s="337" t="s">
        <v>13</v>
      </c>
      <c r="B57" s="18" t="str">
        <f>VLOOKUP(A57,'Fertilizer Products &amp; Pricing'!$A$4:$O$35,14,FALSE)</f>
        <v>None</v>
      </c>
      <c r="C57" s="119">
        <f>VLOOKUP(A57,'Fertilizer Products &amp; Pricing'!$A$4:$O$35,15,FALSE)</f>
        <v>0</v>
      </c>
      <c r="D57" s="120">
        <f>VLOOKUP(A57,'Fertilizer Products &amp; Pricing'!$A$4:$O$35,13,FALSE)</f>
        <v>1</v>
      </c>
      <c r="E57" s="303">
        <v>0</v>
      </c>
      <c r="F57" s="122">
        <f>VLOOKUP(A57,'Fertilizer Products &amp; Pricing'!$A$4:$O$35,12,FALSE)</f>
        <v>0</v>
      </c>
      <c r="G57" s="122">
        <f>(E57*VLOOKUP(A57,'Fertilizer Products &amp; Pricing'!$A$4:$O$35,11,FALSE)/D57)*C57</f>
        <v>0</v>
      </c>
      <c r="H57" s="2"/>
      <c r="I57" s="63"/>
      <c r="J57" s="63"/>
      <c r="K57" s="64"/>
      <c r="L57" s="22"/>
      <c r="M57" s="337" t="s">
        <v>13</v>
      </c>
      <c r="N57" s="18" t="str">
        <f>VLOOKUP(M57,'Fertilizer Products &amp; Pricing'!$A$4:$O$35,14,FALSE)</f>
        <v>None</v>
      </c>
      <c r="O57" s="119">
        <f>VLOOKUP(M57,'Fertilizer Products &amp; Pricing'!$A$4:$O$35,15,FALSE)</f>
        <v>0</v>
      </c>
      <c r="P57" s="120">
        <f>VLOOKUP(M57,'Fertilizer Products &amp; Pricing'!$A$4:$O$35,13,FALSE)</f>
        <v>1</v>
      </c>
      <c r="Q57" s="303">
        <v>0</v>
      </c>
      <c r="R57" s="122">
        <f>VLOOKUP(M57,'Fertilizer Products &amp; Pricing'!$A$4:$O$35,12,FALSE)</f>
        <v>0</v>
      </c>
      <c r="S57" s="122">
        <f>(Q57*VLOOKUP(M57,'Fertilizer Products &amp; Pricing'!$A$4:$O$35,11,FALSE)/P57)*O57</f>
        <v>0</v>
      </c>
      <c r="T57" s="2"/>
      <c r="U57" s="63"/>
      <c r="V57" s="63"/>
      <c r="W57" s="64"/>
      <c r="X57" s="58"/>
      <c r="Y57" s="337" t="s">
        <v>13</v>
      </c>
      <c r="Z57" s="18" t="str">
        <f>VLOOKUP(Y57,'Fertilizer Products &amp; Pricing'!$A$4:$O$35,14,FALSE)</f>
        <v>None</v>
      </c>
      <c r="AA57" s="119">
        <f>VLOOKUP(Y57,'Fertilizer Products &amp; Pricing'!$A$4:$O$35,15,FALSE)</f>
        <v>0</v>
      </c>
      <c r="AB57" s="120">
        <f>VLOOKUP(Y57,'Fertilizer Products &amp; Pricing'!$A$4:$O$35,13,FALSE)</f>
        <v>1</v>
      </c>
      <c r="AC57" s="303">
        <v>0</v>
      </c>
      <c r="AD57" s="122">
        <f>VLOOKUP(Y57,'Fertilizer Products &amp; Pricing'!$A$4:$O$35,12,FALSE)</f>
        <v>0</v>
      </c>
      <c r="AE57" s="122">
        <f>(AC57*VLOOKUP(Y57,'Fertilizer Products &amp; Pricing'!$A$4:$O$35,11,FALSE)/AB57)*AA57</f>
        <v>0</v>
      </c>
      <c r="AF57" s="2"/>
      <c r="AG57" s="63"/>
      <c r="AH57" s="63"/>
      <c r="AI57" s="64"/>
    </row>
    <row r="58" spans="1:35" ht="15.75">
      <c r="A58" s="337" t="s">
        <v>13</v>
      </c>
      <c r="B58" s="18" t="str">
        <f>VLOOKUP(A58,'Fertilizer Products &amp; Pricing'!$A$4:$O$35,14,FALSE)</f>
        <v>None</v>
      </c>
      <c r="C58" s="119">
        <f>VLOOKUP(A58,'Fertilizer Products &amp; Pricing'!$A$4:$O$35,15,FALSE)</f>
        <v>0</v>
      </c>
      <c r="D58" s="120">
        <f>VLOOKUP(A58,'Fertilizer Products &amp; Pricing'!$A$4:$O$35,13,FALSE)</f>
        <v>1</v>
      </c>
      <c r="E58" s="303">
        <v>0</v>
      </c>
      <c r="F58" s="122">
        <f>VLOOKUP(A58,'Fertilizer Products &amp; Pricing'!$A$4:$O$35,12,FALSE)</f>
        <v>0</v>
      </c>
      <c r="G58" s="122">
        <f>(E58*VLOOKUP(A58,'Fertilizer Products &amp; Pricing'!$A$4:$O$35,11,FALSE)/D58)*C58</f>
        <v>0</v>
      </c>
      <c r="H58" s="2"/>
      <c r="I58" s="657" t="s">
        <v>118</v>
      </c>
      <c r="J58" s="657" t="s">
        <v>119</v>
      </c>
      <c r="K58" s="658" t="s">
        <v>120</v>
      </c>
      <c r="L58" s="22"/>
      <c r="M58" s="337" t="s">
        <v>13</v>
      </c>
      <c r="N58" s="18" t="str">
        <f>VLOOKUP(M58,'Fertilizer Products &amp; Pricing'!$A$4:$O$35,14,FALSE)</f>
        <v>None</v>
      </c>
      <c r="O58" s="119">
        <f>VLOOKUP(M58,'Fertilizer Products &amp; Pricing'!$A$4:$O$35,15,FALSE)</f>
        <v>0</v>
      </c>
      <c r="P58" s="120">
        <f>VLOOKUP(M58,'Fertilizer Products &amp; Pricing'!$A$4:$O$35,13,FALSE)</f>
        <v>1</v>
      </c>
      <c r="Q58" s="303">
        <v>0</v>
      </c>
      <c r="R58" s="122">
        <f>VLOOKUP(M58,'Fertilizer Products &amp; Pricing'!$A$4:$O$35,12,FALSE)</f>
        <v>0</v>
      </c>
      <c r="S58" s="122">
        <f>(Q58*VLOOKUP(M58,'Fertilizer Products &amp; Pricing'!$A$4:$O$35,11,FALSE)/P58)*O58</f>
        <v>0</v>
      </c>
      <c r="T58" s="2"/>
      <c r="U58" s="657" t="s">
        <v>118</v>
      </c>
      <c r="V58" s="657" t="s">
        <v>119</v>
      </c>
      <c r="W58" s="658" t="s">
        <v>120</v>
      </c>
      <c r="X58" s="57"/>
      <c r="Y58" s="337" t="s">
        <v>13</v>
      </c>
      <c r="Z58" s="18" t="str">
        <f>VLOOKUP(Y58,'Fertilizer Products &amp; Pricing'!$A$4:$O$35,14,FALSE)</f>
        <v>None</v>
      </c>
      <c r="AA58" s="119">
        <f>VLOOKUP(Y58,'Fertilizer Products &amp; Pricing'!$A$4:$O$35,15,FALSE)</f>
        <v>0</v>
      </c>
      <c r="AB58" s="120">
        <f>VLOOKUP(Y58,'Fertilizer Products &amp; Pricing'!$A$4:$O$35,13,FALSE)</f>
        <v>1</v>
      </c>
      <c r="AC58" s="303">
        <v>0</v>
      </c>
      <c r="AD58" s="122">
        <f>VLOOKUP(Y58,'Fertilizer Products &amp; Pricing'!$A$4:$O$35,12,FALSE)</f>
        <v>0</v>
      </c>
      <c r="AE58" s="122">
        <f>(AC58*VLOOKUP(Y58,'Fertilizer Products &amp; Pricing'!$A$4:$O$35,11,FALSE)/AB58)*AA58</f>
        <v>0</v>
      </c>
      <c r="AF58" s="2"/>
      <c r="AG58" s="657" t="s">
        <v>118</v>
      </c>
      <c r="AH58" s="657" t="s">
        <v>119</v>
      </c>
      <c r="AI58" s="658" t="s">
        <v>120</v>
      </c>
    </row>
    <row r="59" spans="1:35" ht="15.75">
      <c r="A59" s="123"/>
      <c r="B59" s="44"/>
      <c r="C59" s="119"/>
      <c r="D59" s="122"/>
      <c r="E59" s="101"/>
      <c r="F59" s="122"/>
      <c r="G59" s="44"/>
      <c r="H59" s="2"/>
      <c r="I59" s="65">
        <f>VLOOKUP($A$62,'Fertilizer Products &amp; Pricing'!$A$39:$O$52,8,FALSE)*$E$62+VLOOKUP($A$63,'Fertilizer Products &amp; Pricing'!$A$39:$O$52,8,FALSE)*$E$63+VLOOKUP($A$64,'Fertilizer Products &amp; Pricing'!$A$39:$O$52,8,FALSE)*$E$64+VLOOKUP($A$61,'Fertilizer Products &amp; Pricing'!$A$39:$O$52,8,FALSE)*$E$61</f>
        <v>0</v>
      </c>
      <c r="J59" s="65">
        <f>VLOOKUP($A$62,'Fertilizer Products &amp; Pricing'!$A$39:$O$52,9,FALSE)*$E$62+VLOOKUP($A$63,'Fertilizer Products &amp; Pricing'!$A$39:$O$52,9,FALSE)*$E$63+VLOOKUP($A$64,'Fertilizer Products &amp; Pricing'!$A$39:$O$52,9,FALSE)*$E$64+VLOOKUP($A$61,'Fertilizer Products &amp; Pricing'!$A$39:$O$52,9,FALSE)*$E$61</f>
        <v>0</v>
      </c>
      <c r="K59" s="66">
        <v>0</v>
      </c>
      <c r="L59" s="22"/>
      <c r="M59" s="123"/>
      <c r="N59" s="44"/>
      <c r="O59" s="119"/>
      <c r="P59" s="122"/>
      <c r="Q59" s="101"/>
      <c r="R59" s="122"/>
      <c r="S59" s="44"/>
      <c r="T59" s="2"/>
      <c r="U59" s="65">
        <f>VLOOKUP($M62,'Fertilizer Products &amp; Pricing'!$A$39:$O$52,8,FALSE)*$Q62+VLOOKUP($M63,'Fertilizer Products &amp; Pricing'!$A$39:$O$52,8,FALSE)*$Q63+VLOOKUP($M64,'Fertilizer Products &amp; Pricing'!$A$39:$O$52,8,FALSE)*$Q64+VLOOKUP($M61,'Fertilizer Products &amp; Pricing'!$A$39:$O$52,8,FALSE)*$Q61</f>
        <v>0</v>
      </c>
      <c r="V59" s="65">
        <f>VLOOKUP($M62,'Fertilizer Products &amp; Pricing'!$A$39:$O$52,9,FALSE)*$Q62+VLOOKUP($M63,'Fertilizer Products &amp; Pricing'!$A$39:$O$52,9,FALSE)*$Q63+VLOOKUP($M64,'Fertilizer Products &amp; Pricing'!$A$39:$O$52,9,FALSE)*$Q64+VLOOKUP($M61,'Fertilizer Products &amp; Pricing'!$A$39:$O$52,9,FALSE)*$Q61</f>
        <v>0</v>
      </c>
      <c r="W59" s="66">
        <v>0</v>
      </c>
      <c r="X59" s="59"/>
      <c r="Y59" s="123"/>
      <c r="Z59" s="44"/>
      <c r="AA59" s="119"/>
      <c r="AB59" s="122"/>
      <c r="AC59" s="101"/>
      <c r="AD59" s="122"/>
      <c r="AE59" s="44"/>
      <c r="AF59" s="2"/>
      <c r="AG59" s="65">
        <f>VLOOKUP($Y62,'Fertilizer Products &amp; Pricing'!$A$39:$O$52,8,FALSE)*$AC62+VLOOKUP($Y63,'Fertilizer Products &amp; Pricing'!$A$39:$O$52,8,FALSE)*$AC63+VLOOKUP($Y64,'Fertilizer Products &amp; Pricing'!$A$39:$O$52,8,FALSE)*$AC64+VLOOKUP($Y61,'Fertilizer Products &amp; Pricing'!$A$39:$O$52,8,FALSE)*$AC61</f>
        <v>0</v>
      </c>
      <c r="AH59" s="65">
        <f>VLOOKUP($Y62,'Fertilizer Products &amp; Pricing'!$A$39:$O$52,9,FALSE)*$AC62+VLOOKUP($Y63,'Fertilizer Products &amp; Pricing'!$A$39:$O$52,9,FALSE)*$AC63+VLOOKUP($Y64,'Fertilizer Products &amp; Pricing'!$A$39:$O$52,9,FALSE)*$AC64+VLOOKUP($Y61,'Fertilizer Products &amp; Pricing'!$A$39:$O$52,9,FALSE)*$AC61</f>
        <v>0</v>
      </c>
      <c r="AI59" s="66">
        <v>0</v>
      </c>
    </row>
    <row r="60" spans="1:35" ht="15.75">
      <c r="A60" s="93" t="s">
        <v>349</v>
      </c>
      <c r="B60" s="19"/>
      <c r="C60" s="119"/>
      <c r="D60" s="19"/>
      <c r="E60" s="121"/>
      <c r="F60" s="54"/>
      <c r="G60" s="44"/>
      <c r="H60" s="2"/>
      <c r="I60" s="2"/>
      <c r="J60" s="2"/>
      <c r="K60" s="55"/>
      <c r="L60" s="22"/>
      <c r="M60" s="93" t="s">
        <v>349</v>
      </c>
      <c r="N60" s="19"/>
      <c r="O60" s="119"/>
      <c r="P60" s="19"/>
      <c r="Q60" s="121"/>
      <c r="R60" s="54"/>
      <c r="S60" s="44"/>
      <c r="T60" s="2"/>
      <c r="U60" s="2"/>
      <c r="V60" s="2"/>
      <c r="W60" s="55"/>
      <c r="Y60" s="93" t="s">
        <v>349</v>
      </c>
      <c r="Z60" s="19"/>
      <c r="AA60" s="119"/>
      <c r="AB60" s="19"/>
      <c r="AC60" s="121"/>
      <c r="AD60" s="54"/>
      <c r="AE60" s="44"/>
      <c r="AF60" s="2"/>
      <c r="AG60" s="2"/>
      <c r="AH60" s="2"/>
      <c r="AI60" s="55"/>
    </row>
    <row r="61" spans="1:35" ht="15.75">
      <c r="A61" s="337" t="s">
        <v>13</v>
      </c>
      <c r="B61" s="18" t="str">
        <f>VLOOKUP($A61,'Fertilizer Products &amp; Pricing'!$A$39:$O$52,14,FALSE)</f>
        <v>None</v>
      </c>
      <c r="C61" s="119">
        <f>VLOOKUP($A61,'Fertilizer Products &amp; Pricing'!$A$39:$O$52,15,FALSE)</f>
        <v>0</v>
      </c>
      <c r="D61" s="120">
        <f>VLOOKUP($A61,'Fertilizer Products &amp; Pricing'!$A$39:$O$52,13,FALSE)</f>
        <v>1</v>
      </c>
      <c r="E61" s="303">
        <v>0</v>
      </c>
      <c r="F61" s="122">
        <f>VLOOKUP($A61,'Fertilizer Products &amp; Pricing'!$A$39:$O$52,12,FALSE)</f>
        <v>0</v>
      </c>
      <c r="G61" s="44">
        <f>(E61*VLOOKUP(A61,'Fertilizer Products &amp; Pricing'!$A$39:$O$52,11,FALSE)/D61)*C61</f>
        <v>0</v>
      </c>
      <c r="H61" s="2"/>
      <c r="I61" s="2"/>
      <c r="J61" s="2"/>
      <c r="K61" s="55"/>
      <c r="L61" s="22"/>
      <c r="M61" s="337" t="s">
        <v>13</v>
      </c>
      <c r="N61" s="18" t="str">
        <f>VLOOKUP($A61,'Fertilizer Products &amp; Pricing'!$A$39:$O$52,14,FALSE)</f>
        <v>None</v>
      </c>
      <c r="O61" s="119">
        <f>VLOOKUP($A61,'Fertilizer Products &amp; Pricing'!$A$39:$O$52,15,FALSE)</f>
        <v>0</v>
      </c>
      <c r="P61" s="120">
        <f>VLOOKUP($A61,'Fertilizer Products &amp; Pricing'!$A$39:$O$52,13,FALSE)</f>
        <v>1</v>
      </c>
      <c r="Q61" s="303">
        <v>0</v>
      </c>
      <c r="R61" s="122">
        <f>VLOOKUP($A61,'Fertilizer Products &amp; Pricing'!$A$39:$O$52,12,FALSE)</f>
        <v>0</v>
      </c>
      <c r="S61" s="44">
        <f>(Q61*VLOOKUP(M61,'Fertilizer Products &amp; Pricing'!$A$39:$O$52,11,FALSE)/P61)*O61</f>
        <v>0</v>
      </c>
      <c r="T61" s="2"/>
      <c r="U61" s="2"/>
      <c r="V61" s="2"/>
      <c r="W61" s="55"/>
      <c r="Y61" s="337" t="s">
        <v>13</v>
      </c>
      <c r="Z61" s="18" t="str">
        <f>VLOOKUP($A61,'Fertilizer Products &amp; Pricing'!$A$39:$O$52,14,FALSE)</f>
        <v>None</v>
      </c>
      <c r="AA61" s="119">
        <f>VLOOKUP($A61,'Fertilizer Products &amp; Pricing'!$A$39:$O$52,15,FALSE)</f>
        <v>0</v>
      </c>
      <c r="AB61" s="120">
        <f>VLOOKUP($A61,'Fertilizer Products &amp; Pricing'!$A$39:$O$52,13,FALSE)</f>
        <v>1</v>
      </c>
      <c r="AC61" s="303">
        <v>0</v>
      </c>
      <c r="AD61" s="122">
        <f>VLOOKUP($A61,'Fertilizer Products &amp; Pricing'!$A$39:$O$52,12,FALSE)</f>
        <v>0</v>
      </c>
      <c r="AE61" s="44">
        <f>(AC61*VLOOKUP(Y61,'Fertilizer Products &amp; Pricing'!$A$39:$O$52,11,FALSE)/AB61)*AA61</f>
        <v>0</v>
      </c>
      <c r="AF61" s="2"/>
      <c r="AG61" s="2"/>
      <c r="AH61" s="2"/>
      <c r="AI61" s="55"/>
    </row>
    <row r="62" spans="1:35" ht="15.75">
      <c r="A62" s="337" t="s">
        <v>13</v>
      </c>
      <c r="B62" s="18" t="str">
        <f>VLOOKUP($A62,'Fertilizer Products &amp; Pricing'!$A$39:$O$52,14,FALSE)</f>
        <v>None</v>
      </c>
      <c r="C62" s="119">
        <f>VLOOKUP($A62,'Fertilizer Products &amp; Pricing'!$A$39:$O$52,15,FALSE)</f>
        <v>0</v>
      </c>
      <c r="D62" s="120">
        <f>VLOOKUP($A62,'Fertilizer Products &amp; Pricing'!$A$39:$O$52,13,FALSE)</f>
        <v>1</v>
      </c>
      <c r="E62" s="303">
        <v>0</v>
      </c>
      <c r="F62" s="122">
        <f>VLOOKUP($A62,'Fertilizer Products &amp; Pricing'!$A$39:$O$52,12,FALSE)</f>
        <v>0</v>
      </c>
      <c r="G62" s="44">
        <f>(E62*VLOOKUP(A62,'Fertilizer Products &amp; Pricing'!$A$39:$O$52,11,FALSE)/D62)*C62</f>
        <v>0</v>
      </c>
      <c r="H62" s="2"/>
      <c r="I62" s="2"/>
      <c r="J62" s="2"/>
      <c r="K62" s="55"/>
      <c r="L62" s="22"/>
      <c r="M62" s="337" t="s">
        <v>13</v>
      </c>
      <c r="N62" s="18" t="str">
        <f>VLOOKUP($A62,'Fertilizer Products &amp; Pricing'!$A$39:$O$52,14,FALSE)</f>
        <v>None</v>
      </c>
      <c r="O62" s="119">
        <f>VLOOKUP($A62,'Fertilizer Products &amp; Pricing'!$A$39:$O$52,15,FALSE)</f>
        <v>0</v>
      </c>
      <c r="P62" s="120">
        <f>VLOOKUP($A62,'Fertilizer Products &amp; Pricing'!$A$39:$O$52,13,FALSE)</f>
        <v>1</v>
      </c>
      <c r="Q62" s="303">
        <v>0</v>
      </c>
      <c r="R62" s="122">
        <f>VLOOKUP($A62,'Fertilizer Products &amp; Pricing'!$A$39:$O$52,12,FALSE)</f>
        <v>0</v>
      </c>
      <c r="S62" s="44">
        <f>(Q62*VLOOKUP(M62,'Fertilizer Products &amp; Pricing'!$A$39:$O$52,11,FALSE)/P62)*O62</f>
        <v>0</v>
      </c>
      <c r="T62" s="2"/>
      <c r="U62" s="2"/>
      <c r="V62" s="2"/>
      <c r="W62" s="55"/>
      <c r="Y62" s="337" t="s">
        <v>13</v>
      </c>
      <c r="Z62" s="18" t="str">
        <f>VLOOKUP($A62,'Fertilizer Products &amp; Pricing'!$A$39:$O$52,14,FALSE)</f>
        <v>None</v>
      </c>
      <c r="AA62" s="119">
        <f>VLOOKUP($A62,'Fertilizer Products &amp; Pricing'!$A$39:$O$52,15,FALSE)</f>
        <v>0</v>
      </c>
      <c r="AB62" s="120">
        <f>VLOOKUP($A62,'Fertilizer Products &amp; Pricing'!$A$39:$O$52,13,FALSE)</f>
        <v>1</v>
      </c>
      <c r="AC62" s="303">
        <v>0</v>
      </c>
      <c r="AD62" s="122">
        <f>VLOOKUP($A62,'Fertilizer Products &amp; Pricing'!$A$39:$O$52,12,FALSE)</f>
        <v>0</v>
      </c>
      <c r="AE62" s="44">
        <f>(AC62*VLOOKUP(Y62,'Fertilizer Products &amp; Pricing'!$A$39:$O$52,11,FALSE)/AB62)*AA62</f>
        <v>0</v>
      </c>
      <c r="AF62" s="2"/>
      <c r="AG62" s="2"/>
      <c r="AH62" s="2"/>
      <c r="AI62" s="55"/>
    </row>
    <row r="63" spans="1:35" ht="15.75">
      <c r="A63" s="337" t="s">
        <v>13</v>
      </c>
      <c r="B63" s="18" t="str">
        <f>VLOOKUP($A63,'Fertilizer Products &amp; Pricing'!$A$39:$O$52,14,FALSE)</f>
        <v>None</v>
      </c>
      <c r="C63" s="119">
        <f>VLOOKUP($A63,'Fertilizer Products &amp; Pricing'!$A$39:$O$52,15,FALSE)</f>
        <v>0</v>
      </c>
      <c r="D63" s="120">
        <f>VLOOKUP($A63,'Fertilizer Products &amp; Pricing'!$A$39:$O$52,13,FALSE)</f>
        <v>1</v>
      </c>
      <c r="E63" s="303">
        <v>0</v>
      </c>
      <c r="F63" s="122">
        <f>VLOOKUP($A63,'Fertilizer Products &amp; Pricing'!$A$39:$O$52,12,FALSE)</f>
        <v>0</v>
      </c>
      <c r="G63" s="44">
        <f>(E63*VLOOKUP(A63,'Fertilizer Products &amp; Pricing'!$A$39:$O$52,11,FALSE)/D63)*C63</f>
        <v>0</v>
      </c>
      <c r="H63" s="2"/>
      <c r="I63" s="2"/>
      <c r="J63" s="2"/>
      <c r="K63" s="55"/>
      <c r="L63" s="22"/>
      <c r="M63" s="337" t="s">
        <v>13</v>
      </c>
      <c r="N63" s="18" t="str">
        <f>VLOOKUP($A63,'Fertilizer Products &amp; Pricing'!$A$39:$O$52,14,FALSE)</f>
        <v>None</v>
      </c>
      <c r="O63" s="119">
        <f>VLOOKUP($A63,'Fertilizer Products &amp; Pricing'!$A$39:$O$52,15,FALSE)</f>
        <v>0</v>
      </c>
      <c r="P63" s="120">
        <f>VLOOKUP($A63,'Fertilizer Products &amp; Pricing'!$A$39:$O$52,13,FALSE)</f>
        <v>1</v>
      </c>
      <c r="Q63" s="303">
        <v>0</v>
      </c>
      <c r="R63" s="122">
        <f>VLOOKUP($A63,'Fertilizer Products &amp; Pricing'!$A$39:$O$52,12,FALSE)</f>
        <v>0</v>
      </c>
      <c r="S63" s="44">
        <f>(Q63*VLOOKUP(M63,'Fertilizer Products &amp; Pricing'!$A$39:$O$52,11,FALSE)/P63)*O63</f>
        <v>0</v>
      </c>
      <c r="T63" s="2"/>
      <c r="U63" s="2"/>
      <c r="V63" s="2"/>
      <c r="W63" s="55"/>
      <c r="Y63" s="337" t="s">
        <v>13</v>
      </c>
      <c r="Z63" s="18" t="str">
        <f>VLOOKUP($A63,'Fertilizer Products &amp; Pricing'!$A$39:$O$52,14,FALSE)</f>
        <v>None</v>
      </c>
      <c r="AA63" s="119">
        <f>VLOOKUP($A63,'Fertilizer Products &amp; Pricing'!$A$39:$O$52,15,FALSE)</f>
        <v>0</v>
      </c>
      <c r="AB63" s="120">
        <f>VLOOKUP($A63,'Fertilizer Products &amp; Pricing'!$A$39:$O$52,13,FALSE)</f>
        <v>1</v>
      </c>
      <c r="AC63" s="303">
        <v>0</v>
      </c>
      <c r="AD63" s="122">
        <f>VLOOKUP($A63,'Fertilizer Products &amp; Pricing'!$A$39:$O$52,12,FALSE)</f>
        <v>0</v>
      </c>
      <c r="AE63" s="44">
        <f>(AC63*VLOOKUP(Y63,'Fertilizer Products &amp; Pricing'!$A$39:$O$52,11,FALSE)/AB63)*AA63</f>
        <v>0</v>
      </c>
      <c r="AF63" s="2"/>
      <c r="AG63" s="2"/>
      <c r="AH63" s="2"/>
      <c r="AI63" s="55"/>
    </row>
    <row r="64" spans="1:35" ht="15.75">
      <c r="A64" s="337" t="s">
        <v>13</v>
      </c>
      <c r="B64" s="18" t="str">
        <f>VLOOKUP($A64,'Fertilizer Products &amp; Pricing'!$A$39:$O$52,14,FALSE)</f>
        <v>None</v>
      </c>
      <c r="C64" s="119">
        <f>VLOOKUP($A64,'Fertilizer Products &amp; Pricing'!$A$39:$O$52,15,FALSE)</f>
        <v>0</v>
      </c>
      <c r="D64" s="120">
        <f>VLOOKUP($A64,'Fertilizer Products &amp; Pricing'!$A$39:$O$52,13,FALSE)</f>
        <v>1</v>
      </c>
      <c r="E64" s="303">
        <v>0</v>
      </c>
      <c r="F64" s="122">
        <f>VLOOKUP($A64,'Fertilizer Products &amp; Pricing'!$A$39:$O$52,12,FALSE)</f>
        <v>0</v>
      </c>
      <c r="G64" s="44">
        <f>(E64*VLOOKUP(A64,'Fertilizer Products &amp; Pricing'!$A$39:$O$52,11,FALSE)/D64)*C64</f>
        <v>0</v>
      </c>
      <c r="H64" s="2"/>
      <c r="I64" s="2"/>
      <c r="J64" s="2"/>
      <c r="K64" s="55"/>
      <c r="L64" s="22"/>
      <c r="M64" s="337" t="s">
        <v>13</v>
      </c>
      <c r="N64" s="18" t="str">
        <f>VLOOKUP($A64,'Fertilizer Products &amp; Pricing'!$A$39:$O$52,14,FALSE)</f>
        <v>None</v>
      </c>
      <c r="O64" s="119">
        <f>VLOOKUP($A64,'Fertilizer Products &amp; Pricing'!$A$39:$O$52,15,FALSE)</f>
        <v>0</v>
      </c>
      <c r="P64" s="120">
        <f>VLOOKUP($A64,'Fertilizer Products &amp; Pricing'!$A$39:$O$52,13,FALSE)</f>
        <v>1</v>
      </c>
      <c r="Q64" s="303">
        <v>0</v>
      </c>
      <c r="R64" s="122">
        <f>VLOOKUP($A64,'Fertilizer Products &amp; Pricing'!$A$39:$O$52,12,FALSE)</f>
        <v>0</v>
      </c>
      <c r="S64" s="44">
        <f>(Q64*VLOOKUP(M64,'Fertilizer Products &amp; Pricing'!$A$39:$O$52,11,FALSE)/P64)*O64</f>
        <v>0</v>
      </c>
      <c r="T64" s="2"/>
      <c r="U64" s="2"/>
      <c r="V64" s="2"/>
      <c r="W64" s="55"/>
      <c r="Y64" s="337" t="s">
        <v>13</v>
      </c>
      <c r="Z64" s="18" t="str">
        <f>VLOOKUP($A64,'Fertilizer Products &amp; Pricing'!$A$39:$O$52,14,FALSE)</f>
        <v>None</v>
      </c>
      <c r="AA64" s="119">
        <f>VLOOKUP($A64,'Fertilizer Products &amp; Pricing'!$A$39:$O$52,15,FALSE)</f>
        <v>0</v>
      </c>
      <c r="AB64" s="120">
        <f>VLOOKUP($A64,'Fertilizer Products &amp; Pricing'!$A$39:$O$52,13,FALSE)</f>
        <v>1</v>
      </c>
      <c r="AC64" s="303">
        <v>0</v>
      </c>
      <c r="AD64" s="122">
        <f>VLOOKUP($A64,'Fertilizer Products &amp; Pricing'!$A$39:$O$52,12,FALSE)</f>
        <v>0</v>
      </c>
      <c r="AE64" s="44">
        <f>(AC64*VLOOKUP(Y64,'Fertilizer Products &amp; Pricing'!$A$39:$O$52,11,FALSE)/AB64)*AA64</f>
        <v>0</v>
      </c>
      <c r="AF64" s="2"/>
      <c r="AG64" s="2"/>
      <c r="AH64" s="2"/>
      <c r="AI64" s="55"/>
    </row>
    <row r="65" spans="1:35" ht="15.75">
      <c r="A65" s="123"/>
      <c r="B65" s="19"/>
      <c r="C65" s="119"/>
      <c r="D65" s="19"/>
      <c r="E65" s="121"/>
      <c r="F65" s="54"/>
      <c r="G65" s="44"/>
      <c r="H65" s="2"/>
      <c r="I65" s="2"/>
      <c r="J65" s="2"/>
      <c r="K65" s="55"/>
      <c r="L65" s="22"/>
      <c r="M65" s="123"/>
      <c r="N65" s="19"/>
      <c r="O65" s="119"/>
      <c r="P65" s="19"/>
      <c r="Q65" s="121"/>
      <c r="R65" s="54"/>
      <c r="S65" s="44"/>
      <c r="T65" s="2"/>
      <c r="U65" s="2"/>
      <c r="V65" s="2"/>
      <c r="W65" s="55"/>
      <c r="Y65" s="123"/>
      <c r="Z65" s="19"/>
      <c r="AA65" s="119"/>
      <c r="AB65" s="19"/>
      <c r="AC65" s="121"/>
      <c r="AD65" s="54"/>
      <c r="AE65" s="44"/>
      <c r="AF65" s="2"/>
      <c r="AG65" s="2"/>
      <c r="AH65" s="2"/>
      <c r="AI65" s="55"/>
    </row>
    <row r="66" spans="1:35" ht="15.75">
      <c r="A66" s="93" t="s">
        <v>351</v>
      </c>
      <c r="B66" s="124"/>
      <c r="C66" s="125"/>
      <c r="D66" s="124"/>
      <c r="E66" s="126"/>
      <c r="F66" s="94"/>
      <c r="G66" s="94"/>
      <c r="H66" s="2"/>
      <c r="I66" s="2"/>
      <c r="J66" s="2"/>
      <c r="K66" s="55"/>
      <c r="L66" s="22"/>
      <c r="M66" s="93" t="s">
        <v>351</v>
      </c>
      <c r="N66" s="124"/>
      <c r="O66" s="125"/>
      <c r="P66" s="124"/>
      <c r="Q66" s="126"/>
      <c r="R66" s="94"/>
      <c r="S66" s="94"/>
      <c r="T66" s="2"/>
      <c r="U66" s="2"/>
      <c r="V66" s="2"/>
      <c r="W66" s="55"/>
      <c r="Y66" s="93" t="s">
        <v>351</v>
      </c>
      <c r="Z66" s="124"/>
      <c r="AA66" s="125"/>
      <c r="AB66" s="124"/>
      <c r="AC66" s="126"/>
      <c r="AD66" s="94"/>
      <c r="AE66" s="94"/>
      <c r="AF66" s="2"/>
      <c r="AG66" s="2"/>
      <c r="AH66" s="2"/>
      <c r="AI66" s="55"/>
    </row>
    <row r="67" spans="1:35" ht="15.75">
      <c r="A67" s="338" t="s">
        <v>13</v>
      </c>
      <c r="B67" s="18" t="str">
        <f>VLOOKUP(A67,'Fertilizer Products &amp; Pricing'!$A$68:$O$77,14,FALSE)</f>
        <v>None</v>
      </c>
      <c r="C67" s="119">
        <f>VLOOKUP(A67,'Fertilizer Products &amp; Pricing'!$A$68:$O$77,15,FALSE)</f>
        <v>0</v>
      </c>
      <c r="D67" s="120">
        <f>VLOOKUP(A67,'Fertilizer Products &amp; Pricing'!$A$68:$O$77,13,FALSE)</f>
        <v>1</v>
      </c>
      <c r="E67" s="303">
        <v>0</v>
      </c>
      <c r="F67" s="122">
        <f>VLOOKUP(A67,'Fertilizer Products &amp; Pricing'!$A$68:$O$77,12,FALSE)</f>
        <v>0</v>
      </c>
      <c r="G67" s="44">
        <f>(E67*VLOOKUP(A67,'Fertilizer Products &amp; Pricing'!$A$68:$O$77,11,FALSE)/D67)*C67</f>
        <v>0</v>
      </c>
      <c r="H67" s="2"/>
      <c r="I67" s="2"/>
      <c r="J67" s="2"/>
      <c r="K67" s="55"/>
      <c r="L67" s="22"/>
      <c r="M67" s="338" t="s">
        <v>13</v>
      </c>
      <c r="N67" s="18" t="str">
        <f>VLOOKUP(M67,'Fertilizer Products &amp; Pricing'!$A$68:$O$77,14,FALSE)</f>
        <v>None</v>
      </c>
      <c r="O67" s="119">
        <f>VLOOKUP(M67,'Fertilizer Products &amp; Pricing'!$A$68:$O$77,15,FALSE)</f>
        <v>0</v>
      </c>
      <c r="P67" s="120">
        <f>VLOOKUP(M67,'Fertilizer Products &amp; Pricing'!$A$68:$O$77,13,FALSE)</f>
        <v>1</v>
      </c>
      <c r="Q67" s="303">
        <v>0</v>
      </c>
      <c r="R67" s="122">
        <f>VLOOKUP(M67,'Fertilizer Products &amp; Pricing'!$A$68:$O$77,12,FALSE)</f>
        <v>0</v>
      </c>
      <c r="S67" s="44">
        <f>(Q67*VLOOKUP(M67,'Fertilizer Products &amp; Pricing'!$A$68:$O$77,11,FALSE)/P67)*O67</f>
        <v>0</v>
      </c>
      <c r="T67" s="2"/>
      <c r="U67" s="2"/>
      <c r="V67" s="2"/>
      <c r="W67" s="55"/>
      <c r="Y67" s="338" t="s">
        <v>13</v>
      </c>
      <c r="Z67" s="18" t="str">
        <f>VLOOKUP(Y67,'Fertilizer Products &amp; Pricing'!$A$68:$O$77,14,FALSE)</f>
        <v>None</v>
      </c>
      <c r="AA67" s="119">
        <f>VLOOKUP(Y67,'Fertilizer Products &amp; Pricing'!$A$68:$O$77,15,FALSE)</f>
        <v>0</v>
      </c>
      <c r="AB67" s="120">
        <f>VLOOKUP(Y67,'Fertilizer Products &amp; Pricing'!$A$68:$O$77,13,FALSE)</f>
        <v>1</v>
      </c>
      <c r="AC67" s="303">
        <v>0</v>
      </c>
      <c r="AD67" s="122">
        <f>VLOOKUP(Y67,'Fertilizer Products &amp; Pricing'!$A$68:$O$77,12,FALSE)</f>
        <v>0</v>
      </c>
      <c r="AE67" s="44">
        <f>(AC67*VLOOKUP(Y67,'Fertilizer Products &amp; Pricing'!$A$68:$O$77,11,FALSE)/AB67)*AA67</f>
        <v>0</v>
      </c>
      <c r="AF67" s="2"/>
      <c r="AG67" s="2"/>
      <c r="AH67" s="2"/>
      <c r="AI67" s="55"/>
    </row>
    <row r="68" spans="1:35" ht="15.75">
      <c r="A68" s="338" t="s">
        <v>13</v>
      </c>
      <c r="B68" s="18" t="str">
        <f>VLOOKUP(A68,'Fertilizer Products &amp; Pricing'!$A$68:$O$77,14,FALSE)</f>
        <v>None</v>
      </c>
      <c r="C68" s="119">
        <f>VLOOKUP(A68,'Fertilizer Products &amp; Pricing'!$A$68:$O$77,15,FALSE)</f>
        <v>0</v>
      </c>
      <c r="D68" s="120">
        <f>VLOOKUP(A68,'Fertilizer Products &amp; Pricing'!$A$68:$O$77,13,FALSE)</f>
        <v>1</v>
      </c>
      <c r="E68" s="303">
        <v>0</v>
      </c>
      <c r="F68" s="122">
        <f>VLOOKUP(A68,'Fertilizer Products &amp; Pricing'!$A$68:$O$77,12,FALSE)</f>
        <v>0</v>
      </c>
      <c r="G68" s="44">
        <f>(E68*VLOOKUP(A68,'Fertilizer Products &amp; Pricing'!$A$68:$O$77,11,FALSE)/D68)*C68</f>
        <v>0</v>
      </c>
      <c r="H68" s="2"/>
      <c r="I68" s="2"/>
      <c r="J68" s="2"/>
      <c r="K68" s="55"/>
      <c r="L68" s="22"/>
      <c r="M68" s="338" t="s">
        <v>13</v>
      </c>
      <c r="N68" s="18" t="str">
        <f>VLOOKUP(M68,'Fertilizer Products &amp; Pricing'!$A$68:$O$77,14,FALSE)</f>
        <v>None</v>
      </c>
      <c r="O68" s="119">
        <f>VLOOKUP(M68,'Fertilizer Products &amp; Pricing'!$A$68:$O$77,15,FALSE)</f>
        <v>0</v>
      </c>
      <c r="P68" s="120">
        <f>VLOOKUP(M68,'Fertilizer Products &amp; Pricing'!$A$68:$O$77,13,FALSE)</f>
        <v>1</v>
      </c>
      <c r="Q68" s="303">
        <v>0</v>
      </c>
      <c r="R68" s="122">
        <f>VLOOKUP(M68,'Fertilizer Products &amp; Pricing'!$A$68:$O$77,12,FALSE)</f>
        <v>0</v>
      </c>
      <c r="S68" s="44">
        <f>(Q68*VLOOKUP(M68,'Fertilizer Products &amp; Pricing'!$A$68:$O$77,11,FALSE)/P68)*O68</f>
        <v>0</v>
      </c>
      <c r="T68" s="2"/>
      <c r="U68" s="2"/>
      <c r="V68" s="2"/>
      <c r="W68" s="55"/>
      <c r="Y68" s="338" t="s">
        <v>13</v>
      </c>
      <c r="Z68" s="18" t="str">
        <f>VLOOKUP(Y68,'Fertilizer Products &amp; Pricing'!$A$68:$O$77,14,FALSE)</f>
        <v>None</v>
      </c>
      <c r="AA68" s="119">
        <f>VLOOKUP(Y68,'Fertilizer Products &amp; Pricing'!$A$68:$O$77,15,FALSE)</f>
        <v>0</v>
      </c>
      <c r="AB68" s="120">
        <f>VLOOKUP(Y68,'Fertilizer Products &amp; Pricing'!$A$68:$O$77,13,FALSE)</f>
        <v>1</v>
      </c>
      <c r="AC68" s="303">
        <v>0</v>
      </c>
      <c r="AD68" s="122">
        <f>VLOOKUP(Y68,'Fertilizer Products &amp; Pricing'!$A$68:$O$77,12,FALSE)</f>
        <v>0</v>
      </c>
      <c r="AE68" s="44">
        <f>(AC68*VLOOKUP(Y68,'Fertilizer Products &amp; Pricing'!$A$68:$O$77,11,FALSE)/AB68)*AA68</f>
        <v>0</v>
      </c>
      <c r="AF68" s="2"/>
      <c r="AG68" s="2"/>
      <c r="AH68" s="2"/>
      <c r="AI68" s="55"/>
    </row>
    <row r="69" spans="1:35" ht="16.5" thickBot="1">
      <c r="A69" s="302" t="s">
        <v>142</v>
      </c>
      <c r="B69" s="105"/>
      <c r="C69" s="105"/>
      <c r="D69" s="105"/>
      <c r="E69" s="301"/>
      <c r="F69" s="105"/>
      <c r="G69" s="127">
        <f>SUM(G53:G68)</f>
        <v>0</v>
      </c>
      <c r="H69" s="2"/>
      <c r="I69" s="2"/>
      <c r="J69" s="2"/>
      <c r="K69" s="55"/>
      <c r="L69" s="22"/>
      <c r="M69" s="302" t="s">
        <v>142</v>
      </c>
      <c r="N69" s="105"/>
      <c r="O69" s="105"/>
      <c r="P69" s="105"/>
      <c r="Q69" s="301"/>
      <c r="R69" s="105"/>
      <c r="S69" s="127">
        <f>SUM(S53:S68)</f>
        <v>0</v>
      </c>
      <c r="T69" s="2"/>
      <c r="U69" s="2"/>
      <c r="V69" s="2"/>
      <c r="W69" s="55"/>
      <c r="Y69" s="302" t="s">
        <v>141</v>
      </c>
      <c r="Z69" s="105"/>
      <c r="AA69" s="105"/>
      <c r="AB69" s="105"/>
      <c r="AC69" s="301"/>
      <c r="AD69" s="105"/>
      <c r="AE69" s="127">
        <f>SUM(AE53:AE68)</f>
        <v>0</v>
      </c>
      <c r="AF69" s="2"/>
      <c r="AG69" s="2"/>
      <c r="AH69" s="2"/>
      <c r="AI69" s="55"/>
    </row>
    <row r="70" spans="1:35" ht="16.5" thickTop="1">
      <c r="A70" s="82"/>
      <c r="B70" s="110"/>
      <c r="C70" s="110"/>
      <c r="D70" s="110"/>
      <c r="E70" s="110"/>
      <c r="F70" s="110"/>
      <c r="G70" s="108"/>
      <c r="H70" s="2"/>
      <c r="I70" s="2"/>
      <c r="J70" s="2"/>
      <c r="K70" s="55"/>
      <c r="L70" s="22"/>
      <c r="M70" s="82"/>
      <c r="N70" s="110"/>
      <c r="O70" s="110"/>
      <c r="P70" s="110"/>
      <c r="Q70" s="110"/>
      <c r="R70" s="110"/>
      <c r="S70" s="108"/>
      <c r="T70" s="2"/>
      <c r="U70" s="2"/>
      <c r="V70" s="2"/>
      <c r="W70" s="55"/>
      <c r="Y70" s="82"/>
      <c r="Z70" s="110"/>
      <c r="AA70" s="110"/>
      <c r="AB70" s="110"/>
      <c r="AC70" s="110"/>
      <c r="AD70" s="110"/>
      <c r="AE70" s="108"/>
      <c r="AF70" s="2"/>
      <c r="AG70" s="2"/>
      <c r="AH70" s="2"/>
      <c r="AI70" s="55"/>
    </row>
    <row r="71" spans="1:35" ht="16.5" thickBot="1">
      <c r="A71" s="25"/>
      <c r="B71" s="2"/>
      <c r="C71" s="2"/>
      <c r="D71" s="2"/>
      <c r="E71" s="2"/>
      <c r="F71" s="2"/>
      <c r="G71" s="2"/>
      <c r="H71" s="2"/>
      <c r="I71" s="2"/>
      <c r="J71" s="2"/>
      <c r="K71" s="55"/>
      <c r="L71" s="22"/>
      <c r="M71" s="25"/>
      <c r="N71" s="2"/>
      <c r="O71" s="2"/>
      <c r="P71" s="2"/>
      <c r="Q71" s="2"/>
      <c r="R71" s="2"/>
      <c r="S71" s="2"/>
      <c r="T71" s="2"/>
      <c r="U71" s="2"/>
      <c r="V71" s="2"/>
      <c r="W71" s="55"/>
      <c r="Y71" s="25"/>
      <c r="Z71" s="2"/>
      <c r="AA71" s="2"/>
      <c r="AB71" s="2"/>
      <c r="AC71" s="2"/>
      <c r="AD71" s="2"/>
      <c r="AE71" s="2"/>
      <c r="AF71" s="2"/>
      <c r="AG71" s="2"/>
      <c r="AH71" s="2"/>
      <c r="AI71" s="55"/>
    </row>
    <row r="72" spans="1:35" ht="19.5" thickBot="1">
      <c r="A72" s="84" t="s">
        <v>139</v>
      </c>
      <c r="B72" s="105"/>
      <c r="C72" s="105"/>
      <c r="D72" s="105"/>
      <c r="E72" s="105"/>
      <c r="F72" s="105"/>
      <c r="G72" s="127">
        <f>G69+G47+G25</f>
        <v>0</v>
      </c>
      <c r="H72" s="2"/>
      <c r="I72" s="833" t="s">
        <v>251</v>
      </c>
      <c r="J72" s="834"/>
      <c r="K72" s="835"/>
      <c r="L72" s="22"/>
      <c r="M72" s="84" t="s">
        <v>139</v>
      </c>
      <c r="N72" s="105"/>
      <c r="O72" s="105"/>
      <c r="P72" s="105"/>
      <c r="Q72" s="105"/>
      <c r="R72" s="105"/>
      <c r="S72" s="127">
        <f>S69+S47+S25</f>
        <v>0</v>
      </c>
      <c r="T72" s="2"/>
      <c r="U72" s="833" t="s">
        <v>251</v>
      </c>
      <c r="V72" s="834"/>
      <c r="W72" s="835"/>
      <c r="X72" s="14"/>
      <c r="Y72" s="84" t="s">
        <v>139</v>
      </c>
      <c r="Z72" s="105"/>
      <c r="AA72" s="105"/>
      <c r="AB72" s="105"/>
      <c r="AC72" s="105"/>
      <c r="AD72" s="105"/>
      <c r="AE72" s="127">
        <f>AE69+AE47+AE25</f>
        <v>0</v>
      </c>
      <c r="AF72" s="2"/>
      <c r="AG72" s="833" t="s">
        <v>251</v>
      </c>
      <c r="AH72" s="834"/>
      <c r="AI72" s="835"/>
    </row>
    <row r="73" spans="1:35" ht="16.5" thickTop="1">
      <c r="A73" s="79"/>
      <c r="B73" s="110"/>
      <c r="C73" s="110"/>
      <c r="D73" s="110"/>
      <c r="E73" s="110"/>
      <c r="F73" s="110"/>
      <c r="G73" s="108"/>
      <c r="H73" s="2"/>
      <c r="I73" s="63"/>
      <c r="J73" s="63"/>
      <c r="K73" s="64"/>
      <c r="L73" s="22"/>
      <c r="M73" s="79"/>
      <c r="N73" s="110"/>
      <c r="O73" s="110"/>
      <c r="P73" s="110"/>
      <c r="Q73" s="110"/>
      <c r="R73" s="110"/>
      <c r="S73" s="108"/>
      <c r="T73" s="2"/>
      <c r="U73" s="63"/>
      <c r="V73" s="63"/>
      <c r="W73" s="64"/>
      <c r="X73" s="58"/>
      <c r="Y73" s="79"/>
      <c r="Z73" s="110"/>
      <c r="AA73" s="110"/>
      <c r="AB73" s="110"/>
      <c r="AC73" s="110"/>
      <c r="AD73" s="110"/>
      <c r="AE73" s="108"/>
      <c r="AF73" s="2"/>
      <c r="AG73" s="63"/>
      <c r="AH73" s="63"/>
      <c r="AI73" s="64"/>
    </row>
    <row r="74" spans="1:35" ht="15.75">
      <c r="A74" s="79"/>
      <c r="B74" s="110"/>
      <c r="C74" s="110"/>
      <c r="D74" s="110"/>
      <c r="E74" s="110"/>
      <c r="F74" s="110"/>
      <c r="G74" s="108"/>
      <c r="H74" s="2"/>
      <c r="I74" s="659" t="s">
        <v>112</v>
      </c>
      <c r="J74" s="659" t="s">
        <v>113</v>
      </c>
      <c r="K74" s="660" t="s">
        <v>114</v>
      </c>
      <c r="L74" s="22"/>
      <c r="M74" s="79"/>
      <c r="N74" s="110"/>
      <c r="O74" s="110"/>
      <c r="P74" s="110"/>
      <c r="Q74" s="110"/>
      <c r="R74" s="110"/>
      <c r="S74" s="108"/>
      <c r="T74" s="2"/>
      <c r="U74" s="659" t="s">
        <v>112</v>
      </c>
      <c r="V74" s="659" t="s">
        <v>113</v>
      </c>
      <c r="W74" s="660" t="s">
        <v>114</v>
      </c>
      <c r="X74" s="57"/>
      <c r="Y74" s="79"/>
      <c r="Z74" s="110"/>
      <c r="AA74" s="110"/>
      <c r="AB74" s="110"/>
      <c r="AC74" s="110"/>
      <c r="AD74" s="110"/>
      <c r="AE74" s="108"/>
      <c r="AF74" s="2"/>
      <c r="AG74" s="659" t="s">
        <v>112</v>
      </c>
      <c r="AH74" s="659" t="s">
        <v>113</v>
      </c>
      <c r="AI74" s="660" t="s">
        <v>114</v>
      </c>
    </row>
    <row r="75" spans="1:35" ht="15.75">
      <c r="A75" s="79"/>
      <c r="B75" s="110"/>
      <c r="C75" s="110"/>
      <c r="D75" s="110"/>
      <c r="E75" s="110"/>
      <c r="F75" s="110"/>
      <c r="G75" s="108"/>
      <c r="H75" s="2"/>
      <c r="I75" s="61">
        <f>I53+I31+I6</f>
        <v>0</v>
      </c>
      <c r="J75" s="61">
        <f>J53+J31+J6</f>
        <v>0</v>
      </c>
      <c r="K75" s="62">
        <f>K53+K31+K6</f>
        <v>0</v>
      </c>
      <c r="L75" s="22"/>
      <c r="M75" s="79"/>
      <c r="N75" s="110"/>
      <c r="O75" s="110"/>
      <c r="P75" s="110"/>
      <c r="Q75" s="110"/>
      <c r="R75" s="110"/>
      <c r="S75" s="108"/>
      <c r="T75" s="2"/>
      <c r="U75" s="61">
        <f>U53+U31+U6</f>
        <v>0</v>
      </c>
      <c r="V75" s="61">
        <f>V53+V31+V6</f>
        <v>0</v>
      </c>
      <c r="W75" s="62">
        <f>W53+W31+W6</f>
        <v>0</v>
      </c>
      <c r="X75" s="21"/>
      <c r="Y75" s="79"/>
      <c r="Z75" s="110"/>
      <c r="AA75" s="110"/>
      <c r="AB75" s="110"/>
      <c r="AC75" s="110"/>
      <c r="AD75" s="110"/>
      <c r="AE75" s="108"/>
      <c r="AF75" s="2"/>
      <c r="AG75" s="61">
        <f>AG53+AG31+AG6</f>
        <v>0</v>
      </c>
      <c r="AH75" s="61">
        <f>AH53+AH31+AH6</f>
        <v>0</v>
      </c>
      <c r="AI75" s="62">
        <f>AI53+AI31+AI6</f>
        <v>0</v>
      </c>
    </row>
    <row r="76" spans="1:35" ht="15.75">
      <c r="A76" s="79"/>
      <c r="B76" s="110"/>
      <c r="C76" s="110"/>
      <c r="D76" s="110"/>
      <c r="E76" s="110"/>
      <c r="F76" s="110"/>
      <c r="G76" s="108"/>
      <c r="H76" s="2"/>
      <c r="I76" s="63"/>
      <c r="J76" s="63"/>
      <c r="K76" s="64"/>
      <c r="L76" s="22"/>
      <c r="M76" s="79"/>
      <c r="N76" s="110"/>
      <c r="O76" s="110"/>
      <c r="P76" s="110"/>
      <c r="Q76" s="110"/>
      <c r="R76" s="110"/>
      <c r="S76" s="108"/>
      <c r="T76" s="2"/>
      <c r="U76" s="63"/>
      <c r="V76" s="63"/>
      <c r="W76" s="64"/>
      <c r="X76" s="58"/>
      <c r="Y76" s="79"/>
      <c r="Z76" s="110"/>
      <c r="AA76" s="110"/>
      <c r="AB76" s="110"/>
      <c r="AC76" s="110"/>
      <c r="AD76" s="110"/>
      <c r="AE76" s="108"/>
      <c r="AF76" s="2"/>
      <c r="AG76" s="63"/>
      <c r="AH76" s="63"/>
      <c r="AI76" s="64"/>
    </row>
    <row r="77" spans="1:35" ht="15.75">
      <c r="A77" s="79"/>
      <c r="B77" s="110"/>
      <c r="C77" s="110"/>
      <c r="D77" s="110"/>
      <c r="E77" s="110"/>
      <c r="F77" s="110"/>
      <c r="G77" s="108"/>
      <c r="H77" s="2"/>
      <c r="I77" s="657" t="s">
        <v>115</v>
      </c>
      <c r="J77" s="657" t="s">
        <v>116</v>
      </c>
      <c r="K77" s="658" t="s">
        <v>117</v>
      </c>
      <c r="L77" s="22"/>
      <c r="M77" s="79"/>
      <c r="N77" s="110"/>
      <c r="O77" s="110"/>
      <c r="P77" s="110"/>
      <c r="Q77" s="110"/>
      <c r="R77" s="110"/>
      <c r="S77" s="108"/>
      <c r="T77" s="2"/>
      <c r="U77" s="657" t="s">
        <v>115</v>
      </c>
      <c r="V77" s="657" t="s">
        <v>116</v>
      </c>
      <c r="W77" s="658" t="s">
        <v>117</v>
      </c>
      <c r="X77" s="57"/>
      <c r="Y77" s="79"/>
      <c r="Z77" s="110"/>
      <c r="AA77" s="110"/>
      <c r="AB77" s="110"/>
      <c r="AC77" s="110"/>
      <c r="AD77" s="110"/>
      <c r="AE77" s="108"/>
      <c r="AF77" s="2"/>
      <c r="AG77" s="657" t="s">
        <v>115</v>
      </c>
      <c r="AH77" s="657" t="s">
        <v>116</v>
      </c>
      <c r="AI77" s="658" t="s">
        <v>117</v>
      </c>
    </row>
    <row r="78" spans="1:35" ht="15.75">
      <c r="A78" s="79"/>
      <c r="B78" s="110"/>
      <c r="C78" s="110"/>
      <c r="D78" s="110"/>
      <c r="E78" s="110"/>
      <c r="F78" s="110"/>
      <c r="G78" s="108"/>
      <c r="H78" s="2"/>
      <c r="I78" s="61">
        <f>I56+I34+I9</f>
        <v>0</v>
      </c>
      <c r="J78" s="61">
        <f>J56+J34+J9</f>
        <v>0</v>
      </c>
      <c r="K78" s="62">
        <f>K56+K34+K9</f>
        <v>0</v>
      </c>
      <c r="L78" s="22"/>
      <c r="M78" s="79"/>
      <c r="N78" s="110"/>
      <c r="O78" s="110"/>
      <c r="P78" s="110"/>
      <c r="Q78" s="110"/>
      <c r="R78" s="110"/>
      <c r="S78" s="108"/>
      <c r="T78" s="2"/>
      <c r="U78" s="61">
        <f>U56+U34+U9</f>
        <v>0</v>
      </c>
      <c r="V78" s="61">
        <f>V56+V34+V9</f>
        <v>0</v>
      </c>
      <c r="W78" s="62">
        <f>W56+W34+W9</f>
        <v>0</v>
      </c>
      <c r="X78" s="21"/>
      <c r="Y78" s="79"/>
      <c r="Z78" s="110"/>
      <c r="AA78" s="110"/>
      <c r="AB78" s="110"/>
      <c r="AC78" s="110"/>
      <c r="AD78" s="110"/>
      <c r="AE78" s="108"/>
      <c r="AF78" s="2"/>
      <c r="AG78" s="61">
        <f>AG56+AG34+AG9</f>
        <v>0</v>
      </c>
      <c r="AH78" s="61">
        <f>AH56+AH34+AH9</f>
        <v>0</v>
      </c>
      <c r="AI78" s="62">
        <f>AI56+AI34+AI9</f>
        <v>0</v>
      </c>
    </row>
    <row r="79" spans="1:35" ht="15.75">
      <c r="A79" s="79"/>
      <c r="B79" s="110"/>
      <c r="C79" s="110"/>
      <c r="D79" s="110"/>
      <c r="E79" s="110"/>
      <c r="F79" s="110"/>
      <c r="G79" s="108"/>
      <c r="H79" s="2"/>
      <c r="I79" s="63"/>
      <c r="J79" s="63"/>
      <c r="K79" s="64"/>
      <c r="L79" s="22"/>
      <c r="M79" s="79"/>
      <c r="N79" s="110"/>
      <c r="O79" s="110"/>
      <c r="P79" s="110"/>
      <c r="Q79" s="110"/>
      <c r="R79" s="110"/>
      <c r="S79" s="108"/>
      <c r="T79" s="2"/>
      <c r="U79" s="63"/>
      <c r="V79" s="63"/>
      <c r="W79" s="64"/>
      <c r="X79" s="58"/>
      <c r="Y79" s="79"/>
      <c r="Z79" s="110"/>
      <c r="AA79" s="110"/>
      <c r="AB79" s="110"/>
      <c r="AC79" s="110"/>
      <c r="AD79" s="110"/>
      <c r="AE79" s="108"/>
      <c r="AF79" s="2"/>
      <c r="AG79" s="63"/>
      <c r="AH79" s="63"/>
      <c r="AI79" s="64"/>
    </row>
    <row r="80" spans="1:35" ht="15.75">
      <c r="A80" s="79"/>
      <c r="B80" s="110"/>
      <c r="C80" s="110"/>
      <c r="D80" s="110"/>
      <c r="E80" s="110"/>
      <c r="F80" s="110"/>
      <c r="G80" s="108"/>
      <c r="H80" s="2"/>
      <c r="I80" s="657" t="s">
        <v>118</v>
      </c>
      <c r="J80" s="657" t="s">
        <v>119</v>
      </c>
      <c r="K80" s="658" t="s">
        <v>120</v>
      </c>
      <c r="L80" s="22"/>
      <c r="M80" s="79"/>
      <c r="N80" s="110"/>
      <c r="O80" s="110"/>
      <c r="P80" s="110"/>
      <c r="Q80" s="110"/>
      <c r="R80" s="110"/>
      <c r="S80" s="108"/>
      <c r="T80" s="2"/>
      <c r="U80" s="657" t="s">
        <v>118</v>
      </c>
      <c r="V80" s="657" t="s">
        <v>119</v>
      </c>
      <c r="W80" s="658" t="s">
        <v>120</v>
      </c>
      <c r="X80" s="57"/>
      <c r="Y80" s="79"/>
      <c r="Z80" s="110"/>
      <c r="AA80" s="110"/>
      <c r="AB80" s="110"/>
      <c r="AC80" s="110"/>
      <c r="AD80" s="110"/>
      <c r="AE80" s="108"/>
      <c r="AF80" s="2"/>
      <c r="AG80" s="657" t="s">
        <v>118</v>
      </c>
      <c r="AH80" s="657" t="s">
        <v>119</v>
      </c>
      <c r="AI80" s="658" t="s">
        <v>120</v>
      </c>
    </row>
    <row r="81" spans="1:35" ht="15.75">
      <c r="A81" s="79"/>
      <c r="B81" s="110"/>
      <c r="C81" s="110"/>
      <c r="D81" s="110"/>
      <c r="E81" s="110"/>
      <c r="F81" s="110"/>
      <c r="G81" s="108"/>
      <c r="H81" s="2"/>
      <c r="I81" s="65">
        <f>I59+I37+I12</f>
        <v>0</v>
      </c>
      <c r="J81" s="65">
        <f>J59+J37+J12</f>
        <v>0</v>
      </c>
      <c r="K81" s="66">
        <f>K59+K37+K12</f>
        <v>0</v>
      </c>
      <c r="L81" s="22"/>
      <c r="M81" s="79"/>
      <c r="N81" s="110"/>
      <c r="O81" s="110"/>
      <c r="P81" s="110"/>
      <c r="Q81" s="110"/>
      <c r="R81" s="110"/>
      <c r="S81" s="108"/>
      <c r="T81" s="2"/>
      <c r="U81" s="65">
        <f>U59+U37+U12</f>
        <v>0</v>
      </c>
      <c r="V81" s="65">
        <f>V59+V37+V12</f>
        <v>0</v>
      </c>
      <c r="W81" s="66">
        <f>W59+W37+W12</f>
        <v>0</v>
      </c>
      <c r="X81" s="59"/>
      <c r="Y81" s="79"/>
      <c r="Z81" s="110"/>
      <c r="AA81" s="110"/>
      <c r="AB81" s="110"/>
      <c r="AC81" s="110"/>
      <c r="AD81" s="110"/>
      <c r="AE81" s="108"/>
      <c r="AF81" s="2"/>
      <c r="AG81" s="65">
        <f>AG59+AG37+AG12</f>
        <v>0</v>
      </c>
      <c r="AH81" s="65">
        <f>AH59+AH37+AH12</f>
        <v>0</v>
      </c>
      <c r="AI81" s="66">
        <f>AI59+AI37+AI12</f>
        <v>0</v>
      </c>
    </row>
    <row r="82" spans="1:35" ht="16.5" thickBot="1">
      <c r="A82" s="31"/>
      <c r="B82" s="85"/>
      <c r="C82" s="85"/>
      <c r="D82" s="85"/>
      <c r="E82" s="85"/>
      <c r="F82" s="85"/>
      <c r="G82" s="85"/>
      <c r="H82" s="85"/>
      <c r="I82" s="85"/>
      <c r="J82" s="85"/>
      <c r="K82" s="86"/>
      <c r="L82" s="22"/>
      <c r="M82" s="31"/>
      <c r="N82" s="85"/>
      <c r="O82" s="85"/>
      <c r="P82" s="85"/>
      <c r="Q82" s="85"/>
      <c r="R82" s="85"/>
      <c r="S82" s="85"/>
      <c r="T82" s="85"/>
      <c r="U82" s="85"/>
      <c r="V82" s="85"/>
      <c r="W82" s="86"/>
      <c r="Y82" s="31"/>
      <c r="Z82" s="85"/>
      <c r="AA82" s="85"/>
      <c r="AB82" s="85"/>
      <c r="AC82" s="85"/>
      <c r="AD82" s="85"/>
      <c r="AE82" s="85"/>
      <c r="AF82" s="85"/>
      <c r="AG82" s="85"/>
      <c r="AH82" s="85"/>
      <c r="AI82" s="86"/>
    </row>
  </sheetData>
  <sheetProtection algorithmName="SHA-512" hashValue="RTXK14Sxs97gsBa2O3MvvoQzsmF0V4wD9E9Rtmv/8qj2tDy642LGOOAEjrrErMeGnALngAPK4URjVSSIphyIsg==" saltValue="OV6SLRwPutYokMWmGJdgsw==" spinCount="100000" sheet="1" objects="1" scenarios="1"/>
  <mergeCells count="25">
    <mergeCell ref="L26:L27"/>
    <mergeCell ref="X27:X28"/>
    <mergeCell ref="L48:L49"/>
    <mergeCell ref="X48:X49"/>
    <mergeCell ref="K26:K27"/>
    <mergeCell ref="W26:W27"/>
    <mergeCell ref="W48:W49"/>
    <mergeCell ref="K48:K49"/>
    <mergeCell ref="A1:K1"/>
    <mergeCell ref="A28:K28"/>
    <mergeCell ref="A3:K3"/>
    <mergeCell ref="A50:K50"/>
    <mergeCell ref="I72:K72"/>
    <mergeCell ref="M1:W1"/>
    <mergeCell ref="M3:W3"/>
    <mergeCell ref="M28:W28"/>
    <mergeCell ref="M50:W50"/>
    <mergeCell ref="U72:W72"/>
    <mergeCell ref="Y1:AI1"/>
    <mergeCell ref="Y3:AI3"/>
    <mergeCell ref="Y28:AI28"/>
    <mergeCell ref="Y50:AI50"/>
    <mergeCell ref="AG72:AI72"/>
    <mergeCell ref="AI26:AI27"/>
    <mergeCell ref="AI48:AI49"/>
  </mergeCells>
  <conditionalFormatting sqref="G5">
    <cfRule type="dataBar" priority="178">
      <dataBar>
        <cfvo type="min"/>
        <cfvo type="max"/>
        <color rgb="FF63C384"/>
      </dataBar>
    </cfRule>
  </conditionalFormatting>
  <conditionalFormatting sqref="G12:G13">
    <cfRule type="dataBar" priority="200">
      <dataBar>
        <cfvo type="min"/>
        <cfvo type="max"/>
        <color rgb="FF63C384"/>
      </dataBar>
    </cfRule>
  </conditionalFormatting>
  <conditionalFormatting sqref="G43">
    <cfRule type="dataBar" priority="164">
      <dataBar>
        <cfvo type="min"/>
        <cfvo type="max"/>
        <color rgb="FF63C384"/>
      </dataBar>
    </cfRule>
  </conditionalFormatting>
  <conditionalFormatting sqref="G14:G20">
    <cfRule type="dataBar" priority="201">
      <dataBar>
        <cfvo type="min"/>
        <cfvo type="max"/>
        <color rgb="FF63C384"/>
      </dataBar>
    </cfRule>
  </conditionalFormatting>
  <conditionalFormatting sqref="G23:G24">
    <cfRule type="dataBar" priority="99">
      <dataBar>
        <cfvo type="min"/>
        <cfvo type="max"/>
        <color rgb="FF63C384"/>
      </dataBar>
    </cfRule>
  </conditionalFormatting>
  <conditionalFormatting sqref="G21">
    <cfRule type="dataBar" priority="203">
      <dataBar>
        <cfvo type="min"/>
        <cfvo type="max"/>
        <color rgb="FF63C384"/>
      </dataBar>
    </cfRule>
  </conditionalFormatting>
  <conditionalFormatting sqref="G30">
    <cfRule type="dataBar" priority="77">
      <dataBar>
        <cfvo type="min"/>
        <cfvo type="max"/>
        <color rgb="FF63C384"/>
      </dataBar>
    </cfRule>
  </conditionalFormatting>
  <conditionalFormatting sqref="G52">
    <cfRule type="dataBar" priority="73">
      <dataBar>
        <cfvo type="min"/>
        <cfvo type="max"/>
        <color rgb="FF63C384"/>
      </dataBar>
    </cfRule>
  </conditionalFormatting>
  <conditionalFormatting sqref="S5">
    <cfRule type="dataBar" priority="63">
      <dataBar>
        <cfvo type="min"/>
        <cfvo type="max"/>
        <color rgb="FF63C384"/>
      </dataBar>
    </cfRule>
  </conditionalFormatting>
  <conditionalFormatting sqref="S30">
    <cfRule type="dataBar" priority="58">
      <dataBar>
        <cfvo type="min"/>
        <cfvo type="max"/>
        <color rgb="FF63C384"/>
      </dataBar>
    </cfRule>
  </conditionalFormatting>
  <conditionalFormatting sqref="S52">
    <cfRule type="dataBar" priority="57">
      <dataBar>
        <cfvo type="min"/>
        <cfvo type="max"/>
        <color rgb="FF63C384"/>
      </dataBar>
    </cfRule>
  </conditionalFormatting>
  <conditionalFormatting sqref="AE30">
    <cfRule type="dataBar" priority="45">
      <dataBar>
        <cfvo type="min"/>
        <cfvo type="max"/>
        <color rgb="FF63C384"/>
      </dataBar>
    </cfRule>
  </conditionalFormatting>
  <conditionalFormatting sqref="AE5">
    <cfRule type="dataBar" priority="44">
      <dataBar>
        <cfvo type="min"/>
        <cfvo type="max"/>
        <color rgb="FF63C384"/>
      </dataBar>
    </cfRule>
  </conditionalFormatting>
  <conditionalFormatting sqref="AE52">
    <cfRule type="dataBar" priority="43">
      <dataBar>
        <cfvo type="min"/>
        <cfvo type="max"/>
        <color rgb="FF63C384"/>
      </dataBar>
    </cfRule>
  </conditionalFormatting>
  <conditionalFormatting sqref="G6:G11">
    <cfRule type="dataBar" priority="42">
      <dataBar>
        <cfvo type="min"/>
        <cfvo type="max"/>
        <color rgb="FF63C384"/>
      </dataBar>
    </cfRule>
  </conditionalFormatting>
  <conditionalFormatting sqref="G37:G38">
    <cfRule type="dataBar" priority="40">
      <dataBar>
        <cfvo type="min"/>
        <cfvo type="max"/>
        <color rgb="FF63C384"/>
      </dataBar>
    </cfRule>
  </conditionalFormatting>
  <conditionalFormatting sqref="G39:G42">
    <cfRule type="dataBar" priority="41">
      <dataBar>
        <cfvo type="min"/>
        <cfvo type="max"/>
        <color rgb="FF63C384"/>
      </dataBar>
    </cfRule>
  </conditionalFormatting>
  <conditionalFormatting sqref="G31:G36">
    <cfRule type="dataBar" priority="39">
      <dataBar>
        <cfvo type="min"/>
        <cfvo type="max"/>
        <color rgb="FF63C384"/>
      </dataBar>
    </cfRule>
  </conditionalFormatting>
  <conditionalFormatting sqref="G45:G46">
    <cfRule type="dataBar" priority="37">
      <dataBar>
        <cfvo type="min"/>
        <cfvo type="max"/>
        <color rgb="FF63C384"/>
      </dataBar>
    </cfRule>
  </conditionalFormatting>
  <conditionalFormatting sqref="G65">
    <cfRule type="dataBar" priority="35">
      <dataBar>
        <cfvo type="min"/>
        <cfvo type="max"/>
        <color rgb="FF63C384"/>
      </dataBar>
    </cfRule>
  </conditionalFormatting>
  <conditionalFormatting sqref="G59:G60">
    <cfRule type="dataBar" priority="33">
      <dataBar>
        <cfvo type="min"/>
        <cfvo type="max"/>
        <color rgb="FF63C384"/>
      </dataBar>
    </cfRule>
  </conditionalFormatting>
  <conditionalFormatting sqref="G61:G64">
    <cfRule type="dataBar" priority="34">
      <dataBar>
        <cfvo type="min"/>
        <cfvo type="max"/>
        <color rgb="FF63C384"/>
      </dataBar>
    </cfRule>
  </conditionalFormatting>
  <conditionalFormatting sqref="G53:G58">
    <cfRule type="dataBar" priority="32">
      <dataBar>
        <cfvo type="min"/>
        <cfvo type="max"/>
        <color rgb="FF63C384"/>
      </dataBar>
    </cfRule>
  </conditionalFormatting>
  <conditionalFormatting sqref="G67:G68">
    <cfRule type="dataBar" priority="31">
      <dataBar>
        <cfvo type="min"/>
        <cfvo type="max"/>
        <color rgb="FF63C384"/>
      </dataBar>
    </cfRule>
  </conditionalFormatting>
  <conditionalFormatting sqref="S12:S13">
    <cfRule type="dataBar" priority="28">
      <dataBar>
        <cfvo type="min"/>
        <cfvo type="max"/>
        <color rgb="FF63C384"/>
      </dataBar>
    </cfRule>
  </conditionalFormatting>
  <conditionalFormatting sqref="S14:S20">
    <cfRule type="dataBar" priority="29">
      <dataBar>
        <cfvo type="min"/>
        <cfvo type="max"/>
        <color rgb="FF63C384"/>
      </dataBar>
    </cfRule>
  </conditionalFormatting>
  <conditionalFormatting sqref="S23:S24">
    <cfRule type="dataBar" priority="27">
      <dataBar>
        <cfvo type="min"/>
        <cfvo type="max"/>
        <color rgb="FF63C384"/>
      </dataBar>
    </cfRule>
  </conditionalFormatting>
  <conditionalFormatting sqref="S21">
    <cfRule type="dataBar" priority="30">
      <dataBar>
        <cfvo type="min"/>
        <cfvo type="max"/>
        <color rgb="FF63C384"/>
      </dataBar>
    </cfRule>
  </conditionalFormatting>
  <conditionalFormatting sqref="S6:S11">
    <cfRule type="dataBar" priority="26">
      <dataBar>
        <cfvo type="min"/>
        <cfvo type="max"/>
        <color rgb="FF63C384"/>
      </dataBar>
    </cfRule>
  </conditionalFormatting>
  <conditionalFormatting sqref="AE12:AE13">
    <cfRule type="dataBar" priority="23">
      <dataBar>
        <cfvo type="min"/>
        <cfvo type="max"/>
        <color rgb="FF63C384"/>
      </dataBar>
    </cfRule>
  </conditionalFormatting>
  <conditionalFormatting sqref="AE14:AE20">
    <cfRule type="dataBar" priority="24">
      <dataBar>
        <cfvo type="min"/>
        <cfvo type="max"/>
        <color rgb="FF63C384"/>
      </dataBar>
    </cfRule>
  </conditionalFormatting>
  <conditionalFormatting sqref="AE23:AE24">
    <cfRule type="dataBar" priority="22">
      <dataBar>
        <cfvo type="min"/>
        <cfvo type="max"/>
        <color rgb="FF63C384"/>
      </dataBar>
    </cfRule>
  </conditionalFormatting>
  <conditionalFormatting sqref="AE21">
    <cfRule type="dataBar" priority="25">
      <dataBar>
        <cfvo type="min"/>
        <cfvo type="max"/>
        <color rgb="FF63C384"/>
      </dataBar>
    </cfRule>
  </conditionalFormatting>
  <conditionalFormatting sqref="AE6:AE11">
    <cfRule type="dataBar" priority="21">
      <dataBar>
        <cfvo type="min"/>
        <cfvo type="max"/>
        <color rgb="FF63C384"/>
      </dataBar>
    </cfRule>
  </conditionalFormatting>
  <conditionalFormatting sqref="S43">
    <cfRule type="dataBar" priority="20">
      <dataBar>
        <cfvo type="min"/>
        <cfvo type="max"/>
        <color rgb="FF63C384"/>
      </dataBar>
    </cfRule>
  </conditionalFormatting>
  <conditionalFormatting sqref="S37:S38">
    <cfRule type="dataBar" priority="18">
      <dataBar>
        <cfvo type="min"/>
        <cfvo type="max"/>
        <color rgb="FF63C384"/>
      </dataBar>
    </cfRule>
  </conditionalFormatting>
  <conditionalFormatting sqref="S39:S42">
    <cfRule type="dataBar" priority="19">
      <dataBar>
        <cfvo type="min"/>
        <cfvo type="max"/>
        <color rgb="FF63C384"/>
      </dataBar>
    </cfRule>
  </conditionalFormatting>
  <conditionalFormatting sqref="S31:S36">
    <cfRule type="dataBar" priority="17">
      <dataBar>
        <cfvo type="min"/>
        <cfvo type="max"/>
        <color rgb="FF63C384"/>
      </dataBar>
    </cfRule>
  </conditionalFormatting>
  <conditionalFormatting sqref="S45:S46">
    <cfRule type="dataBar" priority="16">
      <dataBar>
        <cfvo type="min"/>
        <cfvo type="max"/>
        <color rgb="FF63C384"/>
      </dataBar>
    </cfRule>
  </conditionalFormatting>
  <conditionalFormatting sqref="S65">
    <cfRule type="dataBar" priority="15">
      <dataBar>
        <cfvo type="min"/>
        <cfvo type="max"/>
        <color rgb="FF63C384"/>
      </dataBar>
    </cfRule>
  </conditionalFormatting>
  <conditionalFormatting sqref="S59:S60">
    <cfRule type="dataBar" priority="13">
      <dataBar>
        <cfvo type="min"/>
        <cfvo type="max"/>
        <color rgb="FF63C384"/>
      </dataBar>
    </cfRule>
  </conditionalFormatting>
  <conditionalFormatting sqref="S61:S64">
    <cfRule type="dataBar" priority="14">
      <dataBar>
        <cfvo type="min"/>
        <cfvo type="max"/>
        <color rgb="FF63C384"/>
      </dataBar>
    </cfRule>
  </conditionalFormatting>
  <conditionalFormatting sqref="S53:S58">
    <cfRule type="dataBar" priority="12">
      <dataBar>
        <cfvo type="min"/>
        <cfvo type="max"/>
        <color rgb="FF63C384"/>
      </dataBar>
    </cfRule>
  </conditionalFormatting>
  <conditionalFormatting sqref="S67:S68">
    <cfRule type="dataBar" priority="11">
      <dataBar>
        <cfvo type="min"/>
        <cfvo type="max"/>
        <color rgb="FF63C384"/>
      </dataBar>
    </cfRule>
  </conditionalFormatting>
  <conditionalFormatting sqref="AE43">
    <cfRule type="dataBar" priority="10">
      <dataBar>
        <cfvo type="min"/>
        <cfvo type="max"/>
        <color rgb="FF63C384"/>
      </dataBar>
    </cfRule>
  </conditionalFormatting>
  <conditionalFormatting sqref="AE37:AE38">
    <cfRule type="dataBar" priority="8">
      <dataBar>
        <cfvo type="min"/>
        <cfvo type="max"/>
        <color rgb="FF63C384"/>
      </dataBar>
    </cfRule>
  </conditionalFormatting>
  <conditionalFormatting sqref="AE39:AE42">
    <cfRule type="dataBar" priority="9">
      <dataBar>
        <cfvo type="min"/>
        <cfvo type="max"/>
        <color rgb="FF63C384"/>
      </dataBar>
    </cfRule>
  </conditionalFormatting>
  <conditionalFormatting sqref="AE31:AE36">
    <cfRule type="dataBar" priority="7">
      <dataBar>
        <cfvo type="min"/>
        <cfvo type="max"/>
        <color rgb="FF63C384"/>
      </dataBar>
    </cfRule>
  </conditionalFormatting>
  <conditionalFormatting sqref="AE45:AE46">
    <cfRule type="dataBar" priority="6">
      <dataBar>
        <cfvo type="min"/>
        <cfvo type="max"/>
        <color rgb="FF63C384"/>
      </dataBar>
    </cfRule>
  </conditionalFormatting>
  <conditionalFormatting sqref="AE65">
    <cfRule type="dataBar" priority="5">
      <dataBar>
        <cfvo type="min"/>
        <cfvo type="max"/>
        <color rgb="FF63C384"/>
      </dataBar>
    </cfRule>
  </conditionalFormatting>
  <conditionalFormatting sqref="AE59:AE60">
    <cfRule type="dataBar" priority="3">
      <dataBar>
        <cfvo type="min"/>
        <cfvo type="max"/>
        <color rgb="FF63C384"/>
      </dataBar>
    </cfRule>
  </conditionalFormatting>
  <conditionalFormatting sqref="AE61:AE64">
    <cfRule type="dataBar" priority="4">
      <dataBar>
        <cfvo type="min"/>
        <cfvo type="max"/>
        <color rgb="FF63C384"/>
      </dataBar>
    </cfRule>
  </conditionalFormatting>
  <conditionalFormatting sqref="AE53:AE58">
    <cfRule type="dataBar" priority="2">
      <dataBar>
        <cfvo type="min"/>
        <cfvo type="max"/>
        <color rgb="FF63C384"/>
      </dataBar>
    </cfRule>
  </conditionalFormatting>
  <conditionalFormatting sqref="AE67:AE68">
    <cfRule type="dataBar" priority="1">
      <dataBar>
        <cfvo type="min"/>
        <cfvo type="max"/>
        <color rgb="FF63C384"/>
      </dataBar>
    </cfRule>
  </conditionalFormatting>
  <printOptions horizontalCentered="1"/>
  <pageMargins left="0.7" right="0.7" top="0.75" bottom="0.75" header="0.3" footer="0.3"/>
  <pageSetup scale="51" orientation="portrait" verticalDpi="0" r:id="rId1"/>
  <colBreaks count="1" manualBreakCount="1">
    <brk id="35" max="72" man="1"/>
  </col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5000000}">
          <x14:formula1>
            <xm:f>'Fertilizer Products &amp; Pricing'!$A$39:$A$52</xm:f>
          </x14:formula1>
          <xm:sqref>A14:A17 Y39:Y42 M61:M64 M14:M17 M39:M42 A39:A42 A61:A64 Y14:Y17 Y61:Y64</xm:sqref>
        </x14:dataValidation>
        <x14:dataValidation type="list" allowBlank="1" showInputMessage="1" showErrorMessage="1" xr:uid="{00000000-0002-0000-0700-000007000000}">
          <x14:formula1>
            <xm:f>'Fertilizer Products &amp; Pricing'!$A$56:$A$64</xm:f>
          </x14:formula1>
          <xm:sqref>A20 M20 Y20</xm:sqref>
        </x14:dataValidation>
        <x14:dataValidation type="list" allowBlank="1" showInputMessage="1" showErrorMessage="1" xr:uid="{00000000-0002-0000-0700-000006000000}">
          <x14:formula1>
            <xm:f>'Fertilizer Products &amp; Pricing'!$A$68:$A$77</xm:f>
          </x14:formula1>
          <xm:sqref>A23:A24 M23:M24 Y45:Y46 M67:M68 A67:A68 Y23:Y24 A45:A46 M45:M46 Y67:Y68</xm:sqref>
        </x14:dataValidation>
        <x14:dataValidation type="list" allowBlank="1" showInputMessage="1" showErrorMessage="1" xr:uid="{00000000-0002-0000-0700-000004000000}">
          <x14:formula1>
            <xm:f>'Fertilizer Products &amp; Pricing'!$A$4:$A$35</xm:f>
          </x14:formula1>
          <xm:sqref>Y31:Y36 A6:A11 M53:M58 M6:M11 M31:M36 Y6:Y11 A53:A58 A31:A36 Y53:Y58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A1:AB43"/>
  <sheetViews>
    <sheetView zoomScale="90" zoomScaleNormal="90" workbookViewId="0">
      <selection activeCell="B4" sqref="B4:J4"/>
    </sheetView>
  </sheetViews>
  <sheetFormatPr defaultColWidth="9.140625" defaultRowHeight="15"/>
  <cols>
    <col min="1" max="1" width="9.140625" style="6"/>
    <col min="2" max="2" width="38.85546875" style="6" customWidth="1"/>
    <col min="3" max="3" width="14" style="6" bestFit="1" customWidth="1"/>
    <col min="4" max="4" width="9.140625" style="6"/>
    <col min="5" max="5" width="11.140625" style="6" customWidth="1"/>
    <col min="6" max="6" width="13.7109375" style="6" bestFit="1" customWidth="1"/>
    <col min="7" max="7" width="11.5703125" style="6" bestFit="1" customWidth="1"/>
    <col min="8" max="8" width="16.42578125" style="6" customWidth="1"/>
    <col min="9" max="9" width="14.5703125" style="6" bestFit="1" customWidth="1"/>
    <col min="10" max="10" width="14.140625" style="6" customWidth="1"/>
    <col min="11" max="11" width="9.140625" style="6"/>
    <col min="12" max="12" width="27.140625" style="6" bestFit="1" customWidth="1"/>
    <col min="13" max="13" width="13.28515625" style="12" customWidth="1"/>
    <col min="14" max="16" width="13.28515625" style="6" hidden="1" customWidth="1"/>
    <col min="17" max="17" width="16.7109375" style="6" customWidth="1"/>
    <col min="18" max="18" width="19.7109375" style="6" customWidth="1"/>
    <col min="19" max="19" width="23.5703125" style="6" bestFit="1" customWidth="1"/>
    <col min="20" max="20" width="17" style="6" customWidth="1"/>
    <col min="21" max="21" width="22" style="6" customWidth="1"/>
    <col min="22" max="22" width="23.5703125" style="6" bestFit="1" customWidth="1"/>
    <col min="23" max="23" width="8.140625" style="6" customWidth="1"/>
    <col min="24" max="24" width="8" style="6" customWidth="1"/>
    <col min="25" max="28" width="8.85546875" style="6" customWidth="1"/>
    <col min="29" max="16384" width="9.140625" style="6"/>
  </cols>
  <sheetData>
    <row r="1" spans="1:23" ht="15" customHeight="1">
      <c r="A1"/>
      <c r="B1" s="838" t="s">
        <v>78</v>
      </c>
      <c r="C1" s="839"/>
      <c r="D1" s="839"/>
      <c r="E1" s="839"/>
      <c r="F1" s="839"/>
      <c r="G1" s="839"/>
      <c r="H1" s="839"/>
      <c r="I1" s="839"/>
      <c r="J1" s="840"/>
      <c r="K1"/>
      <c r="L1"/>
      <c r="M1" s="70"/>
      <c r="N1"/>
      <c r="O1"/>
      <c r="P1"/>
      <c r="Q1"/>
      <c r="R1"/>
      <c r="S1"/>
      <c r="T1"/>
      <c r="U1"/>
      <c r="V1"/>
      <c r="W1"/>
    </row>
    <row r="2" spans="1:23" ht="15" customHeight="1">
      <c r="A2"/>
      <c r="B2" s="841"/>
      <c r="C2" s="842"/>
      <c r="D2" s="842"/>
      <c r="E2" s="842"/>
      <c r="F2" s="842"/>
      <c r="G2" s="842"/>
      <c r="H2" s="842"/>
      <c r="I2" s="842"/>
      <c r="J2" s="843"/>
      <c r="K2"/>
      <c r="L2"/>
      <c r="M2" s="70"/>
      <c r="N2"/>
      <c r="O2"/>
      <c r="P2"/>
      <c r="Q2"/>
      <c r="R2"/>
      <c r="S2"/>
      <c r="T2"/>
      <c r="U2"/>
      <c r="V2"/>
      <c r="W2"/>
    </row>
    <row r="3" spans="1:23" ht="16.5" thickBot="1">
      <c r="A3"/>
      <c r="B3" s="311"/>
      <c r="C3" s="92"/>
      <c r="D3" s="92"/>
      <c r="E3" s="92"/>
      <c r="F3" s="92"/>
      <c r="G3" s="92"/>
      <c r="H3" s="312"/>
      <c r="I3" s="313" t="s">
        <v>79</v>
      </c>
      <c r="J3" s="314">
        <f>'Crop Budget (Main)'!C11+'Crop Budget (Main)'!G11+'Crop Budget (Main)'!K11</f>
        <v>3</v>
      </c>
      <c r="K3" s="2"/>
      <c r="L3" s="2"/>
      <c r="M3" s="315"/>
      <c r="N3" s="2"/>
      <c r="O3" s="2"/>
      <c r="P3" s="2"/>
      <c r="Q3" s="2"/>
      <c r="R3" s="2"/>
      <c r="S3" s="2"/>
      <c r="T3" s="2"/>
      <c r="U3" s="2"/>
      <c r="V3" s="2"/>
      <c r="W3"/>
    </row>
    <row r="4" spans="1:23" ht="16.5" thickBot="1">
      <c r="A4"/>
      <c r="B4" s="844" t="s">
        <v>80</v>
      </c>
      <c r="C4" s="845"/>
      <c r="D4" s="845"/>
      <c r="E4" s="845"/>
      <c r="F4" s="845"/>
      <c r="G4" s="845"/>
      <c r="H4" s="845"/>
      <c r="I4" s="845"/>
      <c r="J4" s="846"/>
      <c r="K4" s="2"/>
      <c r="L4" s="2"/>
      <c r="M4" s="315"/>
      <c r="N4" s="2"/>
      <c r="O4" s="2"/>
      <c r="P4" s="2"/>
      <c r="Q4" s="2"/>
      <c r="R4" s="2"/>
      <c r="S4" s="2"/>
      <c r="T4" s="2"/>
      <c r="U4" s="2"/>
      <c r="V4" s="2"/>
      <c r="W4"/>
    </row>
    <row r="5" spans="1:23" ht="33" customHeight="1">
      <c r="A5"/>
      <c r="B5" s="79" t="s">
        <v>81</v>
      </c>
      <c r="C5" s="146" t="s">
        <v>82</v>
      </c>
      <c r="D5" s="146"/>
      <c r="E5" s="316" t="s">
        <v>83</v>
      </c>
      <c r="F5" s="60" t="s">
        <v>84</v>
      </c>
      <c r="G5" s="317" t="s">
        <v>85</v>
      </c>
      <c r="H5" s="317" t="s">
        <v>86</v>
      </c>
      <c r="I5" s="317" t="s">
        <v>87</v>
      </c>
      <c r="J5" s="318" t="s">
        <v>88</v>
      </c>
      <c r="K5" s="2"/>
      <c r="L5" s="2"/>
      <c r="M5" s="315"/>
      <c r="N5" s="2"/>
      <c r="O5" s="2"/>
      <c r="P5" s="2"/>
      <c r="Q5" s="2"/>
      <c r="R5" s="2"/>
      <c r="S5" s="2"/>
      <c r="T5" s="2"/>
      <c r="U5" s="2"/>
      <c r="V5" s="2"/>
      <c r="W5"/>
    </row>
    <row r="6" spans="1:23" ht="15" customHeight="1">
      <c r="A6"/>
      <c r="B6" s="25"/>
      <c r="C6" s="2"/>
      <c r="D6" s="2"/>
      <c r="E6" s="317"/>
      <c r="F6" s="317"/>
      <c r="G6" s="317"/>
      <c r="H6" s="317"/>
      <c r="I6" s="317"/>
      <c r="J6" s="318"/>
      <c r="K6" s="2"/>
      <c r="L6" s="847" t="s">
        <v>327</v>
      </c>
      <c r="M6" s="848"/>
      <c r="N6" s="848"/>
      <c r="O6" s="848"/>
      <c r="P6" s="848"/>
      <c r="Q6" s="848"/>
      <c r="R6" s="848"/>
      <c r="S6" s="848"/>
      <c r="T6" s="848"/>
      <c r="U6" s="848"/>
      <c r="V6" s="849"/>
      <c r="W6"/>
    </row>
    <row r="7" spans="1:23" ht="15.75">
      <c r="B7" s="336" t="s">
        <v>89</v>
      </c>
      <c r="C7" s="319">
        <v>0</v>
      </c>
      <c r="D7" s="320"/>
      <c r="E7" s="304">
        <v>1</v>
      </c>
      <c r="F7" s="321">
        <v>0.03</v>
      </c>
      <c r="G7" s="162">
        <f>-1*(PMT(F7,E7,C7))</f>
        <v>0</v>
      </c>
      <c r="H7" s="162">
        <f>C7*F7</f>
        <v>0</v>
      </c>
      <c r="I7" s="322">
        <f>H7/$J$3</f>
        <v>0</v>
      </c>
      <c r="J7" s="323">
        <f>G7/$J$3</f>
        <v>0</v>
      </c>
      <c r="K7" s="2"/>
      <c r="L7" s="324"/>
      <c r="M7" s="325"/>
      <c r="N7" s="22"/>
      <c r="O7" s="22"/>
      <c r="P7" s="22"/>
      <c r="Q7" s="850" t="s">
        <v>485</v>
      </c>
      <c r="R7" s="851"/>
      <c r="S7" s="852"/>
      <c r="T7" s="850" t="s">
        <v>77</v>
      </c>
      <c r="U7" s="851"/>
      <c r="V7" s="852"/>
      <c r="W7"/>
    </row>
    <row r="8" spans="1:23" ht="15.75">
      <c r="B8" s="336" t="s">
        <v>90</v>
      </c>
      <c r="C8" s="319">
        <v>0</v>
      </c>
      <c r="D8" s="320"/>
      <c r="E8" s="304">
        <v>1</v>
      </c>
      <c r="F8" s="326">
        <v>0</v>
      </c>
      <c r="G8" s="162">
        <f>-1*(PMT(F8,E8,C8))</f>
        <v>0</v>
      </c>
      <c r="H8" s="162">
        <f>C8*F8</f>
        <v>0</v>
      </c>
      <c r="I8" s="322">
        <f>H8/$J$3</f>
        <v>0</v>
      </c>
      <c r="J8" s="323">
        <f>G8/$J$3</f>
        <v>0</v>
      </c>
      <c r="K8" s="2"/>
      <c r="L8" s="327"/>
      <c r="M8" s="325"/>
      <c r="N8" s="2"/>
      <c r="O8" s="2"/>
      <c r="P8" s="2"/>
      <c r="Q8" s="328" t="s">
        <v>663</v>
      </c>
      <c r="R8" s="329" t="s">
        <v>664</v>
      </c>
      <c r="S8" s="330" t="s">
        <v>665</v>
      </c>
      <c r="T8" s="328" t="s">
        <v>663</v>
      </c>
      <c r="U8" s="329" t="s">
        <v>664</v>
      </c>
      <c r="V8" s="330" t="s">
        <v>665</v>
      </c>
      <c r="W8"/>
    </row>
    <row r="9" spans="1:23" ht="15.75">
      <c r="B9" s="336" t="s">
        <v>91</v>
      </c>
      <c r="C9" s="319">
        <v>0</v>
      </c>
      <c r="D9" s="320"/>
      <c r="E9" s="304">
        <v>1</v>
      </c>
      <c r="F9" s="326">
        <v>0</v>
      </c>
      <c r="G9" s="162">
        <f>-1*(PMT(F9,E9,C9))</f>
        <v>0</v>
      </c>
      <c r="H9" s="162">
        <f>C9*F9</f>
        <v>0</v>
      </c>
      <c r="I9" s="322">
        <f>H9/$J$3</f>
        <v>0</v>
      </c>
      <c r="J9" s="323">
        <f>G9/$J$3</f>
        <v>0</v>
      </c>
      <c r="K9" s="2"/>
      <c r="L9" s="230" t="s">
        <v>333</v>
      </c>
      <c r="M9" s="161" t="s">
        <v>486</v>
      </c>
      <c r="N9" s="2"/>
      <c r="O9" s="2"/>
      <c r="P9" s="2"/>
      <c r="Q9" s="327"/>
      <c r="R9" s="2"/>
      <c r="S9" s="331"/>
      <c r="T9" s="327"/>
      <c r="U9" s="2"/>
      <c r="V9" s="331"/>
      <c r="W9"/>
    </row>
    <row r="10" spans="1:23" ht="15.75">
      <c r="B10" s="336"/>
      <c r="C10" s="319">
        <v>0</v>
      </c>
      <c r="D10" s="320"/>
      <c r="E10" s="304">
        <v>1</v>
      </c>
      <c r="F10" s="326">
        <v>0</v>
      </c>
      <c r="G10" s="162">
        <f>-1*(PMT(F10,E10,C10))</f>
        <v>0</v>
      </c>
      <c r="H10" s="162">
        <f>C10*F10</f>
        <v>0</v>
      </c>
      <c r="I10" s="322">
        <f>H10/$J$3</f>
        <v>0</v>
      </c>
      <c r="J10" s="323">
        <f>G10/$J$3</f>
        <v>0</v>
      </c>
      <c r="K10" s="2"/>
      <c r="L10" s="231" t="s">
        <v>329</v>
      </c>
      <c r="M10" s="72">
        <f>H13</f>
        <v>0</v>
      </c>
      <c r="N10" s="38">
        <f>'Crop Budget (Main)'!$C$11</f>
        <v>1</v>
      </c>
      <c r="O10" s="38">
        <f>'Crop Budget (Main)'!$G$11</f>
        <v>1</v>
      </c>
      <c r="P10" s="38">
        <f>'Crop Budget (Main)'!$K$11</f>
        <v>1</v>
      </c>
      <c r="Q10" s="169">
        <f>M10/(N10+O10+P10)*N10</f>
        <v>0</v>
      </c>
      <c r="R10" s="74">
        <f>M10/(N10+O10+P10)*O10</f>
        <v>0</v>
      </c>
      <c r="S10" s="226">
        <f>M10/(N10+O10+P10)*P10</f>
        <v>0</v>
      </c>
      <c r="T10" s="169">
        <f>Q10/N10</f>
        <v>0</v>
      </c>
      <c r="U10" s="74">
        <f>R10/O10</f>
        <v>0</v>
      </c>
      <c r="V10" s="226">
        <f>S10/P10</f>
        <v>0</v>
      </c>
      <c r="W10"/>
    </row>
    <row r="11" spans="1:23" ht="15.75">
      <c r="B11" s="336"/>
      <c r="C11" s="319">
        <v>0</v>
      </c>
      <c r="D11" s="320"/>
      <c r="E11" s="304">
        <v>1</v>
      </c>
      <c r="F11" s="326">
        <v>0</v>
      </c>
      <c r="G11" s="162">
        <f t="shared" ref="G11:G12" si="0">-1*(PMT(F11,E11,C11))</f>
        <v>0</v>
      </c>
      <c r="H11" s="162">
        <f t="shared" ref="H11:H12" si="1">C11*F11</f>
        <v>0</v>
      </c>
      <c r="I11" s="322">
        <f t="shared" ref="I11:I12" si="2">H11/$J$3</f>
        <v>0</v>
      </c>
      <c r="J11" s="323">
        <f t="shared" ref="J11:J12" si="3">G11/$J$3</f>
        <v>0</v>
      </c>
      <c r="K11" s="2"/>
      <c r="L11" s="231" t="s">
        <v>328</v>
      </c>
      <c r="M11" s="72">
        <f>H28</f>
        <v>0</v>
      </c>
      <c r="N11" s="38">
        <f>'Crop Budget (Main)'!$C$11</f>
        <v>1</v>
      </c>
      <c r="O11" s="38">
        <f>'Crop Budget (Main)'!$G$11</f>
        <v>1</v>
      </c>
      <c r="P11" s="38">
        <f>'Crop Budget (Main)'!$K$11</f>
        <v>1</v>
      </c>
      <c r="Q11" s="169">
        <f>M11/(N11+O11+P11)*N11</f>
        <v>0</v>
      </c>
      <c r="R11" s="74">
        <f>M11/(N11+O11+P11)*O11</f>
        <v>0</v>
      </c>
      <c r="S11" s="226">
        <f>M11/(N11+O11+P11)*P11</f>
        <v>0</v>
      </c>
      <c r="T11" s="169">
        <f t="shared" ref="T11" si="4">Q11/N11</f>
        <v>0</v>
      </c>
      <c r="U11" s="74">
        <f t="shared" ref="U11" si="5">R11/O11</f>
        <v>0</v>
      </c>
      <c r="V11" s="226">
        <f t="shared" ref="V11" si="6">S11/P11</f>
        <v>0</v>
      </c>
      <c r="W11"/>
    </row>
    <row r="12" spans="1:23" ht="15.75">
      <c r="B12" s="336"/>
      <c r="C12" s="319">
        <v>0</v>
      </c>
      <c r="D12" s="320"/>
      <c r="E12" s="304">
        <v>1</v>
      </c>
      <c r="F12" s="326">
        <v>0</v>
      </c>
      <c r="G12" s="162">
        <f t="shared" si="0"/>
        <v>0</v>
      </c>
      <c r="H12" s="162">
        <f t="shared" si="1"/>
        <v>0</v>
      </c>
      <c r="I12" s="322">
        <f t="shared" si="2"/>
        <v>0</v>
      </c>
      <c r="J12" s="323">
        <f t="shared" si="3"/>
        <v>0</v>
      </c>
      <c r="K12" s="2"/>
      <c r="L12" s="231" t="s">
        <v>331</v>
      </c>
      <c r="M12" s="75">
        <f>H41</f>
        <v>0</v>
      </c>
      <c r="N12" s="38">
        <f>'Crop Budget (Main)'!$C$11</f>
        <v>1</v>
      </c>
      <c r="O12" s="38">
        <f>'Crop Budget (Main)'!$G$11</f>
        <v>1</v>
      </c>
      <c r="P12" s="38">
        <f>'Crop Budget (Main)'!$K$11</f>
        <v>1</v>
      </c>
      <c r="Q12" s="169">
        <f>M12/(N12+O12+P12)*N12</f>
        <v>0</v>
      </c>
      <c r="R12" s="74">
        <f>M12/(N12+O12+P12)*O12</f>
        <v>0</v>
      </c>
      <c r="S12" s="226">
        <f>M12/(N12+O12+P12)*P12</f>
        <v>0</v>
      </c>
      <c r="T12" s="169">
        <f>Q12/N12</f>
        <v>0</v>
      </c>
      <c r="U12" s="74">
        <f>R12/O12</f>
        <v>0</v>
      </c>
      <c r="V12" s="226">
        <f>S12/P12</f>
        <v>0</v>
      </c>
      <c r="W12"/>
    </row>
    <row r="13" spans="1:23" ht="15.75">
      <c r="B13" s="79" t="s">
        <v>92</v>
      </c>
      <c r="C13" s="146"/>
      <c r="D13" s="146"/>
      <c r="E13" s="332"/>
      <c r="F13" s="332"/>
      <c r="G13" s="332">
        <f>SUM(G7:G12)</f>
        <v>0</v>
      </c>
      <c r="H13" s="332">
        <f>SUM(H7:H12)</f>
        <v>0</v>
      </c>
      <c r="I13" s="332">
        <f>SUM(I7:I12)</f>
        <v>0</v>
      </c>
      <c r="J13" s="333">
        <f>SUM(J7:J12)</f>
        <v>0</v>
      </c>
      <c r="K13" s="2"/>
      <c r="L13" s="230" t="s">
        <v>326</v>
      </c>
      <c r="M13" s="315"/>
      <c r="N13" s="2"/>
      <c r="O13" s="2"/>
      <c r="P13" s="2"/>
      <c r="Q13" s="327"/>
      <c r="R13" s="2"/>
      <c r="S13" s="331"/>
      <c r="T13" s="327"/>
      <c r="U13" s="2"/>
      <c r="V13" s="331"/>
      <c r="W13"/>
    </row>
    <row r="14" spans="1:23" ht="16.5" thickBot="1">
      <c r="B14" s="25"/>
      <c r="C14" s="2"/>
      <c r="D14" s="2"/>
      <c r="E14" s="2"/>
      <c r="F14" s="2"/>
      <c r="G14" s="2"/>
      <c r="H14" s="2"/>
      <c r="I14" s="2"/>
      <c r="J14" s="55"/>
      <c r="K14" s="2"/>
      <c r="L14" s="231" t="s">
        <v>330</v>
      </c>
      <c r="M14" s="75">
        <f>G28-H28</f>
        <v>0</v>
      </c>
      <c r="N14" s="38">
        <f>'Crop Budget (Main)'!$C$11</f>
        <v>1</v>
      </c>
      <c r="O14" s="38">
        <f>'Crop Budget (Main)'!$G$11</f>
        <v>1</v>
      </c>
      <c r="P14" s="38">
        <f>'Crop Budget (Main)'!$K$11</f>
        <v>1</v>
      </c>
      <c r="Q14" s="169">
        <f>M14/(N14+O14+P14)*N14</f>
        <v>0</v>
      </c>
      <c r="R14" s="74">
        <f>M14/(N14+O14+P14)*O14</f>
        <v>0</v>
      </c>
      <c r="S14" s="226">
        <f>M14/(N14+O14+P14)*P14</f>
        <v>0</v>
      </c>
      <c r="T14" s="169">
        <f t="shared" ref="T14:V15" si="7">Q14/N14</f>
        <v>0</v>
      </c>
      <c r="U14" s="74">
        <f t="shared" si="7"/>
        <v>0</v>
      </c>
      <c r="V14" s="226">
        <f t="shared" si="7"/>
        <v>0</v>
      </c>
      <c r="W14"/>
    </row>
    <row r="15" spans="1:23" ht="16.5" thickBot="1">
      <c r="B15" s="844" t="s">
        <v>93</v>
      </c>
      <c r="C15" s="845"/>
      <c r="D15" s="845"/>
      <c r="E15" s="845"/>
      <c r="F15" s="845"/>
      <c r="G15" s="845"/>
      <c r="H15" s="845"/>
      <c r="I15" s="845"/>
      <c r="J15" s="846"/>
      <c r="K15" s="2"/>
      <c r="L15" s="334" t="s">
        <v>332</v>
      </c>
      <c r="M15" s="232">
        <f>G41-H41</f>
        <v>0</v>
      </c>
      <c r="N15" s="335">
        <f>'Crop Budget (Main)'!$C$11</f>
        <v>1</v>
      </c>
      <c r="O15" s="335">
        <f>'Crop Budget (Main)'!$G$11</f>
        <v>1</v>
      </c>
      <c r="P15" s="335">
        <f>'Crop Budget (Main)'!$K$11</f>
        <v>1</v>
      </c>
      <c r="Q15" s="227">
        <f t="shared" ref="Q15" si="8">M15/(N15+O15+P15)*N15</f>
        <v>0</v>
      </c>
      <c r="R15" s="228">
        <f t="shared" ref="R15" si="9">M15/(N15+O15+P15)*O15</f>
        <v>0</v>
      </c>
      <c r="S15" s="229">
        <f t="shared" ref="S15" si="10">M15/(N15+O15+P15)*P15</f>
        <v>0</v>
      </c>
      <c r="T15" s="227">
        <f t="shared" si="7"/>
        <v>0</v>
      </c>
      <c r="U15" s="228">
        <f t="shared" si="7"/>
        <v>0</v>
      </c>
      <c r="V15" s="229">
        <f t="shared" si="7"/>
        <v>0</v>
      </c>
      <c r="W15"/>
    </row>
    <row r="16" spans="1:23" ht="33" customHeight="1">
      <c r="B16" s="79" t="s">
        <v>81</v>
      </c>
      <c r="C16" s="146" t="s">
        <v>82</v>
      </c>
      <c r="D16" s="146"/>
      <c r="E16" s="316" t="s">
        <v>83</v>
      </c>
      <c r="F16" s="316" t="s">
        <v>84</v>
      </c>
      <c r="G16" s="317" t="s">
        <v>85</v>
      </c>
      <c r="H16" s="317" t="s">
        <v>86</v>
      </c>
      <c r="I16" s="317" t="s">
        <v>87</v>
      </c>
      <c r="J16" s="318" t="s">
        <v>88</v>
      </c>
      <c r="K16" s="2"/>
      <c r="L16" s="2"/>
      <c r="M16" s="315"/>
      <c r="N16" s="2"/>
      <c r="O16" s="2"/>
      <c r="P16" s="2"/>
      <c r="Q16" s="2"/>
      <c r="R16" s="2"/>
      <c r="S16" s="2"/>
      <c r="T16" s="2"/>
      <c r="U16" s="2"/>
      <c r="V16" s="2"/>
      <c r="W16"/>
    </row>
    <row r="17" spans="2:28" ht="15.75">
      <c r="B17" s="336" t="s">
        <v>94</v>
      </c>
      <c r="C17" s="319">
        <v>0</v>
      </c>
      <c r="D17" s="320"/>
      <c r="E17" s="304">
        <v>5</v>
      </c>
      <c r="F17" s="326">
        <v>0</v>
      </c>
      <c r="G17" s="162">
        <f t="shared" ref="G17:G27" si="11">-1*(PMT(F17,E17,C17))</f>
        <v>0</v>
      </c>
      <c r="H17" s="162">
        <f t="shared" ref="H17:H27" si="12">C17*F17</f>
        <v>0</v>
      </c>
      <c r="I17" s="322">
        <f t="shared" ref="I17:I27" si="13">H17/$J$3</f>
        <v>0</v>
      </c>
      <c r="J17" s="323">
        <f>G17/$J$3</f>
        <v>0</v>
      </c>
      <c r="K17" s="2"/>
      <c r="L17" s="2"/>
      <c r="M17" s="315"/>
      <c r="N17" s="2"/>
      <c r="O17" s="2"/>
      <c r="P17" s="2"/>
      <c r="Q17" s="2"/>
      <c r="R17" s="2"/>
      <c r="S17" s="2"/>
      <c r="T17" s="2"/>
      <c r="U17" s="2"/>
      <c r="V17" s="2"/>
      <c r="W17"/>
    </row>
    <row r="18" spans="2:28" ht="15.75">
      <c r="B18" s="336" t="s">
        <v>532</v>
      </c>
      <c r="C18" s="319">
        <v>0</v>
      </c>
      <c r="D18" s="320"/>
      <c r="E18" s="304">
        <v>5</v>
      </c>
      <c r="F18" s="326">
        <v>0</v>
      </c>
      <c r="G18" s="162">
        <f t="shared" si="11"/>
        <v>0</v>
      </c>
      <c r="H18" s="162">
        <f t="shared" si="12"/>
        <v>0</v>
      </c>
      <c r="I18" s="322">
        <f t="shared" si="13"/>
        <v>0</v>
      </c>
      <c r="J18" s="323">
        <f t="shared" ref="J18:J27" si="14">G18/$J$3</f>
        <v>0</v>
      </c>
      <c r="K18" s="2"/>
      <c r="L18" s="2"/>
      <c r="M18" s="315"/>
      <c r="N18" s="2"/>
      <c r="O18" s="2"/>
      <c r="P18" s="2"/>
      <c r="Q18" s="2"/>
      <c r="R18" s="2"/>
      <c r="S18" s="2"/>
      <c r="T18" s="2"/>
      <c r="U18" s="2"/>
      <c r="V18" s="2"/>
      <c r="W18"/>
    </row>
    <row r="19" spans="2:28" ht="15.75">
      <c r="B19" s="336" t="s">
        <v>691</v>
      </c>
      <c r="C19" s="319">
        <v>0</v>
      </c>
      <c r="D19" s="320"/>
      <c r="E19" s="304">
        <v>5</v>
      </c>
      <c r="F19" s="326">
        <v>0.05</v>
      </c>
      <c r="G19" s="162">
        <f t="shared" si="11"/>
        <v>0</v>
      </c>
      <c r="H19" s="162">
        <f t="shared" si="12"/>
        <v>0</v>
      </c>
      <c r="I19" s="322">
        <f t="shared" si="13"/>
        <v>0</v>
      </c>
      <c r="J19" s="323">
        <f t="shared" si="14"/>
        <v>0</v>
      </c>
      <c r="K19" s="2"/>
      <c r="L19" s="2"/>
      <c r="M19" s="315"/>
      <c r="N19" s="2"/>
      <c r="O19" s="2"/>
      <c r="P19" s="2"/>
      <c r="Q19" s="2"/>
      <c r="R19" s="2"/>
      <c r="S19" s="2"/>
      <c r="T19" s="2"/>
      <c r="U19" s="2"/>
      <c r="V19" s="2"/>
      <c r="W19" s="69"/>
      <c r="X19" s="68"/>
      <c r="Y19" s="68"/>
      <c r="Z19" s="68"/>
      <c r="AA19" s="68"/>
      <c r="AB19" s="68"/>
    </row>
    <row r="20" spans="2:28" ht="15.75">
      <c r="B20" s="336"/>
      <c r="C20" s="319">
        <v>0</v>
      </c>
      <c r="D20" s="320"/>
      <c r="E20" s="304">
        <v>1</v>
      </c>
      <c r="F20" s="326">
        <v>0</v>
      </c>
      <c r="G20" s="162">
        <f t="shared" si="11"/>
        <v>0</v>
      </c>
      <c r="H20" s="162">
        <f t="shared" si="12"/>
        <v>0</v>
      </c>
      <c r="I20" s="322">
        <f t="shared" si="13"/>
        <v>0</v>
      </c>
      <c r="J20" s="323">
        <f t="shared" si="14"/>
        <v>0</v>
      </c>
      <c r="K20" s="2"/>
      <c r="L20" s="2"/>
      <c r="M20" s="315"/>
      <c r="N20" s="2"/>
      <c r="O20" s="2"/>
      <c r="P20" s="2"/>
      <c r="Q20" s="2"/>
      <c r="R20" s="2"/>
      <c r="S20" s="2"/>
      <c r="T20" s="2"/>
      <c r="U20" s="2"/>
      <c r="V20" s="2"/>
      <c r="W20"/>
    </row>
    <row r="21" spans="2:28" ht="15.75">
      <c r="B21" s="336"/>
      <c r="C21" s="319">
        <v>0</v>
      </c>
      <c r="D21" s="320"/>
      <c r="E21" s="304">
        <v>1</v>
      </c>
      <c r="F21" s="326">
        <v>0</v>
      </c>
      <c r="G21" s="162">
        <f t="shared" si="11"/>
        <v>0</v>
      </c>
      <c r="H21" s="162">
        <f t="shared" si="12"/>
        <v>0</v>
      </c>
      <c r="I21" s="322">
        <f t="shared" si="13"/>
        <v>0</v>
      </c>
      <c r="J21" s="323">
        <f t="shared" si="14"/>
        <v>0</v>
      </c>
      <c r="K21" s="2"/>
      <c r="L21" s="2"/>
      <c r="M21" s="315"/>
      <c r="N21" s="2"/>
      <c r="O21" s="2"/>
      <c r="P21" s="2"/>
      <c r="Q21" s="2"/>
      <c r="R21" s="2"/>
      <c r="S21" s="2"/>
      <c r="T21" s="2"/>
      <c r="U21" s="2"/>
      <c r="V21" s="2"/>
      <c r="W21"/>
    </row>
    <row r="22" spans="2:28" ht="15.75">
      <c r="B22" s="336"/>
      <c r="C22" s="319">
        <v>0</v>
      </c>
      <c r="D22" s="320"/>
      <c r="E22" s="304">
        <v>1</v>
      </c>
      <c r="F22" s="326">
        <v>0</v>
      </c>
      <c r="G22" s="162">
        <f t="shared" si="11"/>
        <v>0</v>
      </c>
      <c r="H22" s="162">
        <f t="shared" si="12"/>
        <v>0</v>
      </c>
      <c r="I22" s="322">
        <f t="shared" si="13"/>
        <v>0</v>
      </c>
      <c r="J22" s="323">
        <f t="shared" si="14"/>
        <v>0</v>
      </c>
      <c r="K22" s="2"/>
      <c r="L22" s="2"/>
      <c r="M22" s="315"/>
      <c r="N22" s="2"/>
      <c r="O22" s="2"/>
      <c r="P22" s="2"/>
      <c r="Q22" s="2"/>
      <c r="R22" s="2"/>
      <c r="S22" s="2"/>
      <c r="T22" s="2"/>
      <c r="U22" s="2"/>
      <c r="V22" s="2"/>
      <c r="W22"/>
    </row>
    <row r="23" spans="2:28" ht="15.75">
      <c r="B23" s="336"/>
      <c r="C23" s="319">
        <v>0</v>
      </c>
      <c r="D23" s="320"/>
      <c r="E23" s="304">
        <v>1</v>
      </c>
      <c r="F23" s="326">
        <v>0</v>
      </c>
      <c r="G23" s="162">
        <f t="shared" si="11"/>
        <v>0</v>
      </c>
      <c r="H23" s="162">
        <f t="shared" si="12"/>
        <v>0</v>
      </c>
      <c r="I23" s="322">
        <f t="shared" si="13"/>
        <v>0</v>
      </c>
      <c r="J23" s="323">
        <f t="shared" si="14"/>
        <v>0</v>
      </c>
      <c r="K23" s="2"/>
      <c r="L23" s="2"/>
      <c r="M23" s="315"/>
      <c r="N23" s="2"/>
      <c r="O23" s="2"/>
      <c r="P23" s="2"/>
      <c r="Q23" s="2"/>
      <c r="R23" s="2"/>
      <c r="S23" s="2"/>
      <c r="T23" s="2"/>
      <c r="U23" s="2"/>
      <c r="V23" s="2"/>
      <c r="W23"/>
    </row>
    <row r="24" spans="2:28" ht="15.75">
      <c r="B24" s="336"/>
      <c r="C24" s="319">
        <v>0</v>
      </c>
      <c r="D24" s="320"/>
      <c r="E24" s="304">
        <v>1</v>
      </c>
      <c r="F24" s="326">
        <v>0</v>
      </c>
      <c r="G24" s="162">
        <f t="shared" si="11"/>
        <v>0</v>
      </c>
      <c r="H24" s="162">
        <f t="shared" si="12"/>
        <v>0</v>
      </c>
      <c r="I24" s="322">
        <f t="shared" si="13"/>
        <v>0</v>
      </c>
      <c r="J24" s="323">
        <f t="shared" si="14"/>
        <v>0</v>
      </c>
      <c r="K24" s="2"/>
      <c r="L24" s="2"/>
      <c r="M24" s="315"/>
      <c r="N24" s="2"/>
      <c r="O24" s="2"/>
      <c r="P24" s="2"/>
      <c r="Q24" s="2"/>
      <c r="R24" s="2"/>
      <c r="S24" s="2"/>
      <c r="T24" s="2"/>
      <c r="U24" s="2"/>
      <c r="V24" s="2"/>
      <c r="W24"/>
    </row>
    <row r="25" spans="2:28" ht="15.75">
      <c r="B25" s="336"/>
      <c r="C25" s="319">
        <v>0</v>
      </c>
      <c r="D25" s="320"/>
      <c r="E25" s="304">
        <v>1</v>
      </c>
      <c r="F25" s="326">
        <v>0</v>
      </c>
      <c r="G25" s="162">
        <f t="shared" si="11"/>
        <v>0</v>
      </c>
      <c r="H25" s="162">
        <f t="shared" si="12"/>
        <v>0</v>
      </c>
      <c r="I25" s="322">
        <f t="shared" si="13"/>
        <v>0</v>
      </c>
      <c r="J25" s="323">
        <f t="shared" si="14"/>
        <v>0</v>
      </c>
      <c r="K25" s="2"/>
      <c r="L25" s="2"/>
      <c r="M25" s="315"/>
      <c r="N25" s="2"/>
      <c r="O25" s="2"/>
      <c r="P25" s="2"/>
      <c r="Q25" s="2"/>
      <c r="R25" s="2"/>
      <c r="S25" s="2"/>
      <c r="T25" s="2"/>
      <c r="U25" s="2"/>
      <c r="V25" s="2"/>
      <c r="W25"/>
    </row>
    <row r="26" spans="2:28" ht="15.75">
      <c r="B26" s="336"/>
      <c r="C26" s="319">
        <v>0</v>
      </c>
      <c r="D26" s="320"/>
      <c r="E26" s="304">
        <v>1</v>
      </c>
      <c r="F26" s="326">
        <v>0</v>
      </c>
      <c r="G26" s="162">
        <f t="shared" si="11"/>
        <v>0</v>
      </c>
      <c r="H26" s="162">
        <f t="shared" si="12"/>
        <v>0</v>
      </c>
      <c r="I26" s="322">
        <f t="shared" si="13"/>
        <v>0</v>
      </c>
      <c r="J26" s="323">
        <f t="shared" si="14"/>
        <v>0</v>
      </c>
      <c r="K26" s="2"/>
      <c r="L26" s="2"/>
      <c r="M26" s="315"/>
      <c r="N26" s="2"/>
      <c r="O26" s="2"/>
      <c r="P26" s="2"/>
      <c r="Q26" s="2"/>
      <c r="R26" s="2"/>
      <c r="S26" s="2"/>
      <c r="T26" s="2"/>
      <c r="U26" s="2"/>
      <c r="V26" s="2"/>
      <c r="W26"/>
    </row>
    <row r="27" spans="2:28" ht="15.75">
      <c r="B27" s="336"/>
      <c r="C27" s="319">
        <v>0</v>
      </c>
      <c r="D27" s="320"/>
      <c r="E27" s="304">
        <v>1</v>
      </c>
      <c r="F27" s="326">
        <v>0</v>
      </c>
      <c r="G27" s="162">
        <f t="shared" si="11"/>
        <v>0</v>
      </c>
      <c r="H27" s="162">
        <f t="shared" si="12"/>
        <v>0</v>
      </c>
      <c r="I27" s="322">
        <f t="shared" si="13"/>
        <v>0</v>
      </c>
      <c r="J27" s="323">
        <f t="shared" si="14"/>
        <v>0</v>
      </c>
      <c r="K27" s="2"/>
      <c r="L27" s="2"/>
      <c r="M27" s="315"/>
      <c r="N27" s="2"/>
      <c r="O27" s="2"/>
      <c r="P27" s="2"/>
      <c r="Q27" s="2"/>
      <c r="R27" s="2"/>
      <c r="S27" s="2"/>
      <c r="T27" s="2"/>
      <c r="U27" s="2"/>
      <c r="V27" s="2"/>
      <c r="W27"/>
    </row>
    <row r="28" spans="2:28" ht="15.75">
      <c r="B28" s="79" t="s">
        <v>92</v>
      </c>
      <c r="C28" s="146"/>
      <c r="D28" s="146"/>
      <c r="E28" s="332"/>
      <c r="F28" s="332"/>
      <c r="G28" s="332">
        <f>SUM(G17:G27)</f>
        <v>0</v>
      </c>
      <c r="H28" s="332">
        <f>SUM(H17:H27)</f>
        <v>0</v>
      </c>
      <c r="I28" s="332">
        <f>SUM(I17:I27)</f>
        <v>0</v>
      </c>
      <c r="J28" s="333">
        <f>SUM(J17:J27)</f>
        <v>0</v>
      </c>
      <c r="K28" s="2"/>
      <c r="L28" s="2"/>
      <c r="M28" s="315"/>
      <c r="N28" s="2"/>
      <c r="O28" s="2"/>
      <c r="P28" s="2"/>
      <c r="Q28" s="2"/>
      <c r="R28" s="2"/>
      <c r="S28" s="2"/>
      <c r="T28" s="2"/>
      <c r="U28" s="2"/>
      <c r="V28" s="2"/>
      <c r="W28"/>
    </row>
    <row r="29" spans="2:28" ht="16.5" thickBot="1">
      <c r="B29" s="25"/>
      <c r="C29" s="2"/>
      <c r="D29" s="2"/>
      <c r="E29" s="317"/>
      <c r="F29" s="317"/>
      <c r="G29" s="317"/>
      <c r="H29" s="317"/>
      <c r="I29" s="317"/>
      <c r="J29" s="318"/>
      <c r="K29" s="2"/>
      <c r="L29" s="2"/>
      <c r="M29" s="315"/>
      <c r="N29" s="2"/>
      <c r="O29" s="2"/>
      <c r="P29" s="2"/>
      <c r="Q29" s="2"/>
      <c r="R29" s="2"/>
      <c r="S29" s="2"/>
      <c r="T29" s="2"/>
      <c r="U29" s="2"/>
      <c r="V29" s="2"/>
      <c r="W29"/>
    </row>
    <row r="30" spans="2:28" ht="16.5" thickBot="1">
      <c r="B30" s="844" t="s">
        <v>131</v>
      </c>
      <c r="C30" s="845"/>
      <c r="D30" s="845"/>
      <c r="E30" s="845"/>
      <c r="F30" s="845"/>
      <c r="G30" s="845"/>
      <c r="H30" s="845"/>
      <c r="I30" s="845"/>
      <c r="J30" s="846"/>
      <c r="K30" s="2"/>
      <c r="L30" s="2"/>
      <c r="M30" s="315"/>
      <c r="N30" s="2"/>
      <c r="O30" s="2"/>
      <c r="P30" s="2"/>
      <c r="Q30" s="2"/>
      <c r="R30" s="2"/>
      <c r="S30" s="2"/>
      <c r="T30" s="2"/>
      <c r="U30" s="2"/>
      <c r="V30" s="2"/>
      <c r="W30"/>
    </row>
    <row r="31" spans="2:28" ht="33" customHeight="1">
      <c r="B31" s="79" t="s">
        <v>81</v>
      </c>
      <c r="C31" s="146" t="s">
        <v>82</v>
      </c>
      <c r="D31" s="146"/>
      <c r="E31" s="316" t="s">
        <v>83</v>
      </c>
      <c r="F31" s="316" t="s">
        <v>84</v>
      </c>
      <c r="G31" s="317" t="s">
        <v>85</v>
      </c>
      <c r="H31" s="317" t="s">
        <v>86</v>
      </c>
      <c r="I31" s="317" t="s">
        <v>87</v>
      </c>
      <c r="J31" s="318" t="s">
        <v>88</v>
      </c>
      <c r="K31" s="2"/>
      <c r="L31" s="2"/>
      <c r="M31" s="315"/>
      <c r="N31" s="2"/>
      <c r="O31" s="2"/>
      <c r="P31" s="2"/>
      <c r="Q31" s="2"/>
      <c r="R31" s="2"/>
      <c r="S31" s="2"/>
      <c r="T31" s="2"/>
      <c r="U31" s="2"/>
      <c r="V31" s="2"/>
      <c r="W31"/>
    </row>
    <row r="32" spans="2:28" ht="15.75">
      <c r="B32" s="25"/>
      <c r="C32" s="2"/>
      <c r="D32" s="2"/>
      <c r="E32" s="317"/>
      <c r="F32" s="317"/>
      <c r="G32" s="317"/>
      <c r="H32" s="317"/>
      <c r="I32" s="317"/>
      <c r="J32" s="318"/>
      <c r="K32" s="2"/>
      <c r="L32" s="2"/>
      <c r="M32" s="315"/>
      <c r="N32" s="2"/>
      <c r="O32" s="2"/>
      <c r="P32" s="2"/>
      <c r="Q32" s="2"/>
      <c r="R32" s="2"/>
      <c r="S32" s="2"/>
      <c r="T32" s="2"/>
      <c r="U32" s="2"/>
      <c r="V32" s="2"/>
      <c r="W32"/>
    </row>
    <row r="33" spans="2:23" ht="15.75">
      <c r="B33" s="336" t="s">
        <v>111</v>
      </c>
      <c r="C33" s="319">
        <v>0</v>
      </c>
      <c r="D33" s="320"/>
      <c r="E33" s="304">
        <v>30</v>
      </c>
      <c r="F33" s="326">
        <v>0</v>
      </c>
      <c r="G33" s="162">
        <f>-1*(PMT(F33,E33,C33))</f>
        <v>0</v>
      </c>
      <c r="H33" s="162">
        <f>C33*F33</f>
        <v>0</v>
      </c>
      <c r="I33" s="322">
        <f t="shared" ref="I33:I38" si="15">H33/$J$3</f>
        <v>0</v>
      </c>
      <c r="J33" s="323">
        <f t="shared" ref="J33:J38" si="16">G33/$J$3</f>
        <v>0</v>
      </c>
      <c r="K33" s="2"/>
      <c r="L33" s="2"/>
      <c r="M33" s="315"/>
      <c r="N33" s="2"/>
      <c r="O33" s="2"/>
      <c r="P33" s="2"/>
      <c r="Q33" s="2"/>
      <c r="R33" s="2"/>
      <c r="S33" s="2"/>
      <c r="T33" s="2"/>
      <c r="U33" s="2"/>
      <c r="V33" s="2"/>
      <c r="W33"/>
    </row>
    <row r="34" spans="2:23" ht="15.75">
      <c r="B34" s="336"/>
      <c r="C34" s="319">
        <v>0</v>
      </c>
      <c r="D34" s="320"/>
      <c r="E34" s="304">
        <v>1</v>
      </c>
      <c r="F34" s="326">
        <v>0</v>
      </c>
      <c r="G34" s="162">
        <f t="shared" ref="G34:G38" si="17">-1*(PMT(F34,E34,C34))</f>
        <v>0</v>
      </c>
      <c r="H34" s="162">
        <f t="shared" ref="H34:H38" si="18">C34*F34</f>
        <v>0</v>
      </c>
      <c r="I34" s="322">
        <f t="shared" si="15"/>
        <v>0</v>
      </c>
      <c r="J34" s="323">
        <f t="shared" si="16"/>
        <v>0</v>
      </c>
      <c r="K34" s="2"/>
      <c r="L34" s="2"/>
      <c r="M34" s="315"/>
      <c r="N34" s="2"/>
      <c r="O34" s="2"/>
      <c r="P34" s="2"/>
      <c r="Q34" s="2"/>
      <c r="R34" s="2"/>
      <c r="S34" s="2"/>
      <c r="T34" s="2"/>
      <c r="U34" s="2"/>
      <c r="V34" s="2"/>
      <c r="W34"/>
    </row>
    <row r="35" spans="2:23" ht="15.75">
      <c r="B35" s="336"/>
      <c r="C35" s="319">
        <v>0</v>
      </c>
      <c r="D35" s="320"/>
      <c r="E35" s="304">
        <v>1</v>
      </c>
      <c r="F35" s="326">
        <v>0</v>
      </c>
      <c r="G35" s="162">
        <f t="shared" si="17"/>
        <v>0</v>
      </c>
      <c r="H35" s="162">
        <f t="shared" si="18"/>
        <v>0</v>
      </c>
      <c r="I35" s="322">
        <f t="shared" si="15"/>
        <v>0</v>
      </c>
      <c r="J35" s="323">
        <f t="shared" si="16"/>
        <v>0</v>
      </c>
      <c r="K35" s="2"/>
      <c r="L35" s="2"/>
      <c r="M35" s="315"/>
      <c r="N35" s="2"/>
      <c r="O35" s="2"/>
      <c r="P35" s="2"/>
      <c r="Q35" s="2"/>
      <c r="R35" s="2"/>
      <c r="S35" s="2"/>
      <c r="T35" s="2"/>
      <c r="U35" s="2"/>
      <c r="V35" s="2"/>
      <c r="W35"/>
    </row>
    <row r="36" spans="2:23" ht="15.75">
      <c r="B36" s="336"/>
      <c r="C36" s="319">
        <v>0</v>
      </c>
      <c r="D36" s="320"/>
      <c r="E36" s="304">
        <v>1</v>
      </c>
      <c r="F36" s="326">
        <v>0</v>
      </c>
      <c r="G36" s="162">
        <f t="shared" si="17"/>
        <v>0</v>
      </c>
      <c r="H36" s="162">
        <f t="shared" si="18"/>
        <v>0</v>
      </c>
      <c r="I36" s="322">
        <f t="shared" si="15"/>
        <v>0</v>
      </c>
      <c r="J36" s="323">
        <f t="shared" si="16"/>
        <v>0</v>
      </c>
      <c r="K36" s="2"/>
      <c r="L36" s="2"/>
      <c r="M36" s="315"/>
      <c r="N36" s="2"/>
      <c r="O36" s="2"/>
      <c r="P36" s="2"/>
      <c r="Q36" s="2"/>
      <c r="R36" s="2"/>
      <c r="S36" s="2"/>
      <c r="T36" s="2"/>
      <c r="U36" s="2"/>
      <c r="V36" s="2"/>
      <c r="W36"/>
    </row>
    <row r="37" spans="2:23" ht="15.75">
      <c r="B37" s="336"/>
      <c r="C37" s="319">
        <v>0</v>
      </c>
      <c r="D37" s="320"/>
      <c r="E37" s="304">
        <v>1</v>
      </c>
      <c r="F37" s="326">
        <v>0</v>
      </c>
      <c r="G37" s="162">
        <f t="shared" si="17"/>
        <v>0</v>
      </c>
      <c r="H37" s="162">
        <f t="shared" si="18"/>
        <v>0</v>
      </c>
      <c r="I37" s="322">
        <f t="shared" si="15"/>
        <v>0</v>
      </c>
      <c r="J37" s="323">
        <f t="shared" si="16"/>
        <v>0</v>
      </c>
      <c r="K37" s="2"/>
      <c r="L37" s="2"/>
      <c r="M37" s="315"/>
      <c r="N37" s="2"/>
      <c r="O37" s="2"/>
      <c r="P37" s="2"/>
      <c r="Q37" s="2"/>
      <c r="R37" s="2"/>
      <c r="S37" s="2"/>
      <c r="T37" s="2"/>
      <c r="U37" s="2"/>
      <c r="V37" s="2"/>
      <c r="W37"/>
    </row>
    <row r="38" spans="2:23" ht="15.75">
      <c r="B38" s="336"/>
      <c r="C38" s="319">
        <v>0</v>
      </c>
      <c r="D38" s="320"/>
      <c r="E38" s="304">
        <v>1</v>
      </c>
      <c r="F38" s="326">
        <v>0</v>
      </c>
      <c r="G38" s="162">
        <f t="shared" si="17"/>
        <v>0</v>
      </c>
      <c r="H38" s="162">
        <f t="shared" si="18"/>
        <v>0</v>
      </c>
      <c r="I38" s="322">
        <f t="shared" si="15"/>
        <v>0</v>
      </c>
      <c r="J38" s="323">
        <f t="shared" si="16"/>
        <v>0</v>
      </c>
      <c r="K38" s="2"/>
      <c r="L38" s="2"/>
      <c r="M38" s="315"/>
      <c r="N38" s="2"/>
      <c r="O38" s="2"/>
      <c r="P38" s="2"/>
      <c r="Q38" s="2"/>
      <c r="R38" s="2"/>
      <c r="S38" s="2"/>
      <c r="T38" s="2"/>
      <c r="U38" s="2"/>
      <c r="V38" s="2"/>
      <c r="W38"/>
    </row>
    <row r="39" spans="2:23" ht="15.75">
      <c r="B39" s="336"/>
      <c r="C39" s="319">
        <v>0</v>
      </c>
      <c r="D39" s="320"/>
      <c r="E39" s="304">
        <v>1</v>
      </c>
      <c r="F39" s="326">
        <v>0</v>
      </c>
      <c r="G39" s="162">
        <f t="shared" ref="G39:G40" si="19">-1*(PMT(F39,E39,C39))</f>
        <v>0</v>
      </c>
      <c r="H39" s="162">
        <f t="shared" ref="H39:H40" si="20">C39*F39</f>
        <v>0</v>
      </c>
      <c r="I39" s="322">
        <f t="shared" ref="I39:I40" si="21">H39/$J$3</f>
        <v>0</v>
      </c>
      <c r="J39" s="323">
        <f t="shared" ref="J39:J40" si="22">G39/$J$3</f>
        <v>0</v>
      </c>
      <c r="K39" s="2"/>
      <c r="L39" s="2"/>
      <c r="M39" s="315"/>
      <c r="N39" s="2"/>
      <c r="O39" s="2"/>
      <c r="P39" s="2"/>
      <c r="Q39" s="2"/>
      <c r="R39" s="2"/>
      <c r="S39" s="2"/>
      <c r="T39" s="2"/>
      <c r="U39" s="2"/>
      <c r="V39" s="2"/>
      <c r="W39"/>
    </row>
    <row r="40" spans="2:23" ht="15.75">
      <c r="B40" s="336"/>
      <c r="C40" s="319">
        <v>0</v>
      </c>
      <c r="D40" s="320"/>
      <c r="E40" s="304">
        <v>1</v>
      </c>
      <c r="F40" s="326">
        <v>0</v>
      </c>
      <c r="G40" s="162">
        <f t="shared" si="19"/>
        <v>0</v>
      </c>
      <c r="H40" s="162">
        <f t="shared" si="20"/>
        <v>0</v>
      </c>
      <c r="I40" s="322">
        <f t="shared" si="21"/>
        <v>0</v>
      </c>
      <c r="J40" s="323">
        <f t="shared" si="22"/>
        <v>0</v>
      </c>
      <c r="K40" s="2"/>
      <c r="L40" s="2"/>
      <c r="M40" s="315"/>
      <c r="N40" s="2"/>
      <c r="O40" s="2"/>
      <c r="P40" s="2"/>
      <c r="Q40" s="2"/>
      <c r="R40" s="2"/>
      <c r="S40" s="2"/>
      <c r="T40" s="2"/>
      <c r="U40" s="2"/>
      <c r="V40" s="2"/>
      <c r="W40"/>
    </row>
    <row r="41" spans="2:23" ht="15.75">
      <c r="B41" s="79" t="s">
        <v>92</v>
      </c>
      <c r="C41" s="146"/>
      <c r="D41" s="146"/>
      <c r="E41" s="332"/>
      <c r="F41" s="332"/>
      <c r="G41" s="332">
        <f>SUM(G33:G40)</f>
        <v>0</v>
      </c>
      <c r="H41" s="332">
        <f>SUM(H33:H40)</f>
        <v>0</v>
      </c>
      <c r="I41" s="332">
        <f>SUM(I33:I40)</f>
        <v>0</v>
      </c>
      <c r="J41" s="333">
        <f>SUM(J33:J40)</f>
        <v>0</v>
      </c>
      <c r="K41" s="2"/>
      <c r="L41" s="2"/>
      <c r="M41" s="315"/>
      <c r="N41" s="2"/>
      <c r="O41" s="2"/>
      <c r="P41" s="2"/>
      <c r="Q41" s="2"/>
      <c r="R41" s="2"/>
      <c r="S41" s="2"/>
      <c r="T41" s="2"/>
      <c r="U41" s="2"/>
      <c r="V41" s="2"/>
      <c r="W41"/>
    </row>
    <row r="42" spans="2:23" ht="15.75">
      <c r="B42" s="25"/>
      <c r="C42" s="2"/>
      <c r="D42" s="2"/>
      <c r="E42" s="2"/>
      <c r="F42" s="2"/>
      <c r="G42" s="2"/>
      <c r="H42" s="2"/>
      <c r="I42" s="2"/>
      <c r="J42" s="55"/>
      <c r="K42" s="2"/>
      <c r="L42" s="2"/>
      <c r="M42" s="315"/>
      <c r="N42" s="2"/>
      <c r="O42" s="2"/>
      <c r="P42" s="2"/>
      <c r="Q42" s="2"/>
      <c r="R42" s="2"/>
      <c r="S42" s="2"/>
      <c r="T42" s="2"/>
      <c r="U42" s="2"/>
      <c r="V42" s="2"/>
      <c r="W42"/>
    </row>
    <row r="43" spans="2:23" ht="16.5" thickBot="1">
      <c r="B43" s="31"/>
      <c r="C43" s="85"/>
      <c r="D43" s="85"/>
      <c r="E43" s="85"/>
      <c r="F43" s="85"/>
      <c r="G43" s="85"/>
      <c r="H43" s="85"/>
      <c r="I43" s="85"/>
      <c r="J43" s="86"/>
      <c r="K43" s="2"/>
      <c r="L43" s="2"/>
      <c r="M43" s="315"/>
      <c r="N43" s="2"/>
      <c r="O43" s="2"/>
      <c r="P43" s="2"/>
      <c r="Q43" s="2"/>
      <c r="R43" s="2"/>
      <c r="S43" s="2"/>
      <c r="T43" s="2"/>
      <c r="U43" s="2"/>
      <c r="V43" s="2"/>
      <c r="W43"/>
    </row>
  </sheetData>
  <sheetProtection algorithmName="SHA-512" hashValue="zUYD3DUcnisMRPqpZx3PFgnOWd2VwlWG60VIS99IxeEGfJ3phLPMrirwinFzSFy4sqXWEUg9d+5HouRlkb9Hfg==" saltValue="1AdqsfFqS0O9DQev9TDCZg==" spinCount="100000" sheet="1" objects="1" scenarios="1"/>
  <mergeCells count="7">
    <mergeCell ref="B1:J2"/>
    <mergeCell ref="B4:J4"/>
    <mergeCell ref="B15:J15"/>
    <mergeCell ref="B30:J30"/>
    <mergeCell ref="L6:V6"/>
    <mergeCell ref="Q7:S7"/>
    <mergeCell ref="T7:V7"/>
  </mergeCells>
  <conditionalFormatting sqref="Q14:S15 Q10:S12">
    <cfRule type="dataBar" priority="432">
      <dataBar>
        <cfvo type="min"/>
        <cfvo type="max"/>
        <color rgb="FF63C384"/>
      </dataBar>
    </cfRule>
  </conditionalFormatting>
  <conditionalFormatting sqref="T14:V15 T10:V12">
    <cfRule type="dataBar" priority="435">
      <dataBar>
        <cfvo type="min"/>
        <cfvo type="max"/>
        <color rgb="FF63C384"/>
      </dataBar>
    </cfRule>
  </conditionalFormatting>
  <printOptions horizontalCentered="1"/>
  <pageMargins left="0.7" right="0.7" top="0.75" bottom="0.75" header="0.3" footer="0.3"/>
  <pageSetup scale="64" orientation="portrait" verticalDpi="0" r:id="rId1"/>
  <colBreaks count="1" manualBreakCount="1">
    <brk id="10" max="43"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M53"/>
  <sheetViews>
    <sheetView zoomScale="90" zoomScaleNormal="90" workbookViewId="0">
      <selection activeCell="B2" sqref="B2"/>
    </sheetView>
  </sheetViews>
  <sheetFormatPr defaultRowHeight="15"/>
  <cols>
    <col min="1" max="1" width="41.85546875" bestFit="1" customWidth="1"/>
    <col min="2" max="2" width="23.28515625" bestFit="1" customWidth="1"/>
    <col min="3" max="4" width="22.28515625" style="4" bestFit="1" customWidth="1"/>
    <col min="5" max="5" width="28.5703125" style="4" bestFit="1" customWidth="1"/>
    <col min="6" max="6" width="24.140625" style="4" bestFit="1" customWidth="1"/>
    <col min="7" max="7" width="24.140625" bestFit="1" customWidth="1"/>
    <col min="8" max="8" width="29" bestFit="1" customWidth="1"/>
    <col min="9" max="10" width="17.28515625" customWidth="1"/>
    <col min="11" max="12" width="17.28515625" hidden="1" customWidth="1"/>
    <col min="13" max="13" width="8.7109375" hidden="1" customWidth="1"/>
  </cols>
  <sheetData>
    <row r="3" spans="1:13" ht="18.75">
      <c r="A3" s="754" t="s">
        <v>479</v>
      </c>
      <c r="B3" s="754"/>
      <c r="C3" s="754"/>
      <c r="D3" s="754"/>
      <c r="E3" s="754"/>
      <c r="F3" s="754"/>
      <c r="G3" s="754"/>
      <c r="H3" s="754"/>
      <c r="I3" s="140"/>
    </row>
    <row r="4" spans="1:13" ht="18.75">
      <c r="A4" s="143"/>
      <c r="B4" s="142" t="s">
        <v>143</v>
      </c>
      <c r="C4" s="142" t="s">
        <v>143</v>
      </c>
      <c r="D4" s="142" t="s">
        <v>143</v>
      </c>
      <c r="E4" s="142" t="s">
        <v>143</v>
      </c>
      <c r="F4"/>
      <c r="G4" s="4" t="s">
        <v>533</v>
      </c>
      <c r="I4" s="140"/>
    </row>
    <row r="5" spans="1:13">
      <c r="B5" s="4" t="s">
        <v>483</v>
      </c>
      <c r="C5" s="4" t="s">
        <v>482</v>
      </c>
      <c r="D5" s="4" t="s">
        <v>398</v>
      </c>
      <c r="E5" s="4" t="s">
        <v>399</v>
      </c>
      <c r="G5" s="223" t="s">
        <v>534</v>
      </c>
    </row>
    <row r="6" spans="1:13">
      <c r="A6" t="s">
        <v>395</v>
      </c>
      <c r="B6" s="305">
        <v>7.0000000000000007E-2</v>
      </c>
      <c r="C6" s="306">
        <v>0</v>
      </c>
      <c r="D6" s="306">
        <v>0</v>
      </c>
      <c r="E6" s="306">
        <v>0</v>
      </c>
      <c r="G6" s="245">
        <f>(C6-E6+D6)*B6</f>
        <v>0</v>
      </c>
    </row>
    <row r="7" spans="1:13">
      <c r="A7" t="s">
        <v>396</v>
      </c>
      <c r="B7" s="305">
        <v>0.04</v>
      </c>
      <c r="C7" s="306">
        <v>0</v>
      </c>
      <c r="D7" s="306">
        <v>0</v>
      </c>
      <c r="E7" s="306">
        <v>0</v>
      </c>
      <c r="G7" s="245">
        <f>(C7-E7+D7)*B7</f>
        <v>0</v>
      </c>
    </row>
    <row r="8" spans="1:13">
      <c r="A8" s="139" t="s">
        <v>397</v>
      </c>
      <c r="B8" s="305">
        <v>0.04</v>
      </c>
      <c r="C8" s="306">
        <v>0</v>
      </c>
      <c r="D8" s="306">
        <v>0</v>
      </c>
      <c r="E8" s="306">
        <v>0</v>
      </c>
      <c r="F8" s="246"/>
      <c r="G8" s="508">
        <f>(C8-E8+D8)*B8</f>
        <v>0</v>
      </c>
    </row>
    <row r="9" spans="1:13" ht="15.75">
      <c r="A9" t="s">
        <v>394</v>
      </c>
      <c r="C9" s="223"/>
      <c r="D9" s="223"/>
      <c r="E9" s="223"/>
      <c r="G9" s="247">
        <f>SUM(G6:G8)</f>
        <v>0</v>
      </c>
      <c r="I9" s="243" t="s">
        <v>363</v>
      </c>
    </row>
    <row r="10" spans="1:13" ht="15.75">
      <c r="I10" s="243" t="s">
        <v>364</v>
      </c>
    </row>
    <row r="11" spans="1:13" ht="14.45" customHeight="1">
      <c r="B11" s="142" t="s">
        <v>143</v>
      </c>
      <c r="C11" s="71" t="s">
        <v>666</v>
      </c>
      <c r="D11" s="71" t="s">
        <v>667</v>
      </c>
      <c r="E11" s="71" t="s">
        <v>668</v>
      </c>
      <c r="F11" s="71" t="s">
        <v>669</v>
      </c>
      <c r="G11" s="71" t="s">
        <v>670</v>
      </c>
      <c r="H11" s="71" t="s">
        <v>671</v>
      </c>
      <c r="I11" s="750" t="s">
        <v>362</v>
      </c>
      <c r="K11" s="4" t="s">
        <v>76</v>
      </c>
      <c r="L11" s="4" t="s">
        <v>132</v>
      </c>
      <c r="M11" s="4" t="s">
        <v>133</v>
      </c>
    </row>
    <row r="12" spans="1:13" ht="15.6" customHeight="1">
      <c r="A12" s="141" t="s">
        <v>400</v>
      </c>
      <c r="B12" s="307">
        <v>0</v>
      </c>
      <c r="C12" s="74">
        <f t="shared" ref="C12:E14" si="0">F12/K12</f>
        <v>0</v>
      </c>
      <c r="D12" s="74">
        <f t="shared" si="0"/>
        <v>0</v>
      </c>
      <c r="E12" s="74">
        <f t="shared" si="0"/>
        <v>0</v>
      </c>
      <c r="F12" s="74">
        <f>B12/(K12+L12+M12)*K12</f>
        <v>0</v>
      </c>
      <c r="G12" s="74">
        <f>B12/(K12+L12+M12)*L12</f>
        <v>0</v>
      </c>
      <c r="H12" s="74">
        <f>B12/(K12+L12+M12)*M12</f>
        <v>0</v>
      </c>
      <c r="I12" s="750"/>
      <c r="K12" s="73">
        <f>'Crop Budget (Main)'!$C$11</f>
        <v>1</v>
      </c>
      <c r="L12" s="73">
        <f>'Crop Budget (Main)'!$G$11</f>
        <v>1</v>
      </c>
      <c r="M12" s="73">
        <f>'Crop Budget (Main)'!$K$11</f>
        <v>1</v>
      </c>
    </row>
    <row r="13" spans="1:13" ht="15.75">
      <c r="A13" s="141" t="s">
        <v>401</v>
      </c>
      <c r="B13" s="307">
        <v>0</v>
      </c>
      <c r="C13" s="74">
        <f t="shared" si="0"/>
        <v>0</v>
      </c>
      <c r="D13" s="74">
        <f t="shared" si="0"/>
        <v>0</v>
      </c>
      <c r="E13" s="74">
        <f t="shared" si="0"/>
        <v>0</v>
      </c>
      <c r="F13" s="74">
        <f>B13/(K13+L13+M13)*K13</f>
        <v>0</v>
      </c>
      <c r="G13" s="74">
        <f>B13/(K13+L13+M13)*L13</f>
        <v>0</v>
      </c>
      <c r="H13" s="74">
        <f>B13/(K13+L13+M13)*M13</f>
        <v>0</v>
      </c>
      <c r="K13" s="73">
        <f>'Crop Budget (Main)'!$C$11</f>
        <v>1</v>
      </c>
      <c r="L13" s="73">
        <f>'Crop Budget (Main)'!$G$11</f>
        <v>1</v>
      </c>
      <c r="M13" s="73">
        <f>'Crop Budget (Main)'!$K$11</f>
        <v>1</v>
      </c>
    </row>
    <row r="14" spans="1:13" ht="15.75">
      <c r="A14" s="141" t="s">
        <v>323</v>
      </c>
      <c r="B14" s="307">
        <v>0</v>
      </c>
      <c r="C14" s="74">
        <f t="shared" si="0"/>
        <v>0</v>
      </c>
      <c r="D14" s="74">
        <f t="shared" si="0"/>
        <v>0</v>
      </c>
      <c r="E14" s="74">
        <f t="shared" si="0"/>
        <v>0</v>
      </c>
      <c r="F14" s="74">
        <f>B14/(K14+L14+M14)*K14</f>
        <v>0</v>
      </c>
      <c r="G14" s="74">
        <f>B14/(K14+L14+M14)*L14</f>
        <v>0</v>
      </c>
      <c r="H14" s="74">
        <f>B14/(K14+L14+M14)*M14</f>
        <v>0</v>
      </c>
      <c r="K14" s="73">
        <f>'Crop Budget (Main)'!$C$11</f>
        <v>1</v>
      </c>
      <c r="L14" s="73">
        <f>'Crop Budget (Main)'!$G$11</f>
        <v>1</v>
      </c>
      <c r="M14" s="73">
        <f>'Crop Budget (Main)'!$K$11</f>
        <v>1</v>
      </c>
    </row>
    <row r="18" spans="1:9" ht="18.75">
      <c r="A18" s="754" t="s">
        <v>507</v>
      </c>
      <c r="B18" s="754"/>
      <c r="C18" s="754"/>
      <c r="D18" s="754"/>
      <c r="E18" s="754"/>
      <c r="F18" s="754"/>
      <c r="G18" s="754"/>
      <c r="H18" s="754"/>
    </row>
    <row r="19" spans="1:9">
      <c r="B19" s="71" t="s">
        <v>558</v>
      </c>
      <c r="C19" s="71" t="s">
        <v>650</v>
      </c>
      <c r="D19" s="71" t="s">
        <v>594</v>
      </c>
      <c r="H19" s="238" t="s">
        <v>485</v>
      </c>
    </row>
    <row r="20" spans="1:9">
      <c r="A20" s="239" t="s">
        <v>508</v>
      </c>
      <c r="B20" s="241">
        <f>'Crop Budget (Main)'!E17</f>
        <v>0</v>
      </c>
      <c r="C20" s="241">
        <f>'Crop Budget (Main)'!I17</f>
        <v>0</v>
      </c>
      <c r="D20" s="241">
        <f>'Crop Budget (Main)'!M17</f>
        <v>0</v>
      </c>
      <c r="H20" s="240">
        <f>SUM(B20:G20)</f>
        <v>0</v>
      </c>
    </row>
    <row r="21" spans="1:9">
      <c r="C21" s="142" t="s">
        <v>143</v>
      </c>
      <c r="E21" s="142" t="s">
        <v>143</v>
      </c>
      <c r="G21" s="142" t="s">
        <v>143</v>
      </c>
    </row>
    <row r="22" spans="1:9">
      <c r="A22" t="s">
        <v>506</v>
      </c>
      <c r="B22" s="4" t="s">
        <v>521</v>
      </c>
      <c r="C22" s="308">
        <v>0</v>
      </c>
      <c r="D22" s="4" t="s">
        <v>510</v>
      </c>
      <c r="E22" s="272">
        <v>0</v>
      </c>
      <c r="F22" s="4" t="s">
        <v>511</v>
      </c>
      <c r="G22" s="309">
        <v>0</v>
      </c>
      <c r="H22" s="69">
        <f>(C22*0.1)+(E22*G22)</f>
        <v>0</v>
      </c>
    </row>
    <row r="23" spans="1:9" ht="15.75">
      <c r="A23" t="s">
        <v>509</v>
      </c>
      <c r="I23" s="243" t="s">
        <v>363</v>
      </c>
    </row>
    <row r="24" spans="1:9" ht="15.75">
      <c r="I24" s="243" t="s">
        <v>364</v>
      </c>
    </row>
    <row r="25" spans="1:9">
      <c r="C25" s="71" t="s">
        <v>666</v>
      </c>
      <c r="D25" s="71" t="s">
        <v>667</v>
      </c>
      <c r="E25" s="71" t="s">
        <v>668</v>
      </c>
      <c r="F25" s="71" t="s">
        <v>669</v>
      </c>
      <c r="G25" s="71" t="s">
        <v>670</v>
      </c>
      <c r="H25" s="71" t="s">
        <v>671</v>
      </c>
      <c r="I25" s="750" t="s">
        <v>362</v>
      </c>
    </row>
    <row r="26" spans="1:9">
      <c r="A26" t="s">
        <v>512</v>
      </c>
      <c r="C26" s="241">
        <f>F26/K12</f>
        <v>0</v>
      </c>
      <c r="D26" s="241">
        <f t="shared" ref="D26:E26" si="1">G26/L12</f>
        <v>0</v>
      </c>
      <c r="E26" s="241">
        <f t="shared" si="1"/>
        <v>0</v>
      </c>
      <c r="F26" s="241">
        <f>$H$22/($K$12+$L$12+$M$12)*K12</f>
        <v>0</v>
      </c>
      <c r="G26" s="241">
        <f>($H$22/($K$12+$L$12+$M$12))*L12</f>
        <v>0</v>
      </c>
      <c r="H26" s="241">
        <f>($H$22/($K$12+$L$12+$M$12))*M12</f>
        <v>0</v>
      </c>
      <c r="I26" s="750"/>
    </row>
    <row r="28" spans="1:9">
      <c r="C28"/>
      <c r="D28"/>
      <c r="E28"/>
      <c r="F28"/>
    </row>
    <row r="29" spans="1:9" ht="18.75">
      <c r="A29" s="754" t="s">
        <v>517</v>
      </c>
      <c r="B29" s="754"/>
      <c r="C29" s="754"/>
      <c r="D29" s="754"/>
      <c r="E29" s="754"/>
      <c r="F29" s="754"/>
      <c r="G29" s="754"/>
      <c r="H29" s="754"/>
    </row>
    <row r="30" spans="1:9" ht="18.75">
      <c r="A30" s="143"/>
      <c r="B30" s="142" t="s">
        <v>143</v>
      </c>
      <c r="C30" s="143"/>
      <c r="D30" s="142" t="s">
        <v>143</v>
      </c>
      <c r="E30" s="143"/>
      <c r="F30" s="143"/>
      <c r="G30" s="143"/>
      <c r="H30" s="143"/>
    </row>
    <row r="31" spans="1:9">
      <c r="B31" s="239" t="s">
        <v>518</v>
      </c>
      <c r="D31" s="239" t="s">
        <v>519</v>
      </c>
      <c r="G31" s="238" t="s">
        <v>485</v>
      </c>
    </row>
    <row r="32" spans="1:9">
      <c r="A32" t="s">
        <v>513</v>
      </c>
      <c r="B32" s="310">
        <v>0</v>
      </c>
      <c r="C32" s="241"/>
      <c r="D32" s="305">
        <v>0.03</v>
      </c>
      <c r="E32" s="241"/>
      <c r="F32" s="241"/>
      <c r="G32" s="241">
        <f>B32*D32</f>
        <v>0</v>
      </c>
      <c r="H32" s="241"/>
    </row>
    <row r="34" spans="1:12">
      <c r="C34" s="71" t="s">
        <v>666</v>
      </c>
      <c r="D34" s="71" t="s">
        <v>667</v>
      </c>
      <c r="E34" s="71" t="s">
        <v>668</v>
      </c>
      <c r="F34" s="71" t="s">
        <v>669</v>
      </c>
      <c r="G34" s="71" t="s">
        <v>670</v>
      </c>
      <c r="H34" s="71" t="s">
        <v>671</v>
      </c>
    </row>
    <row r="35" spans="1:12">
      <c r="C35" s="241">
        <f>F35/K12</f>
        <v>0</v>
      </c>
      <c r="D35" s="241">
        <f t="shared" ref="D35:E35" si="2">G35/L12</f>
        <v>0</v>
      </c>
      <c r="E35" s="241">
        <f t="shared" si="2"/>
        <v>0</v>
      </c>
      <c r="F35" s="241">
        <f>($G$32/($K$12+$L$12+$M$12))*K12</f>
        <v>0</v>
      </c>
      <c r="G35" s="241">
        <f>($G$32/($K$12+$L$12+$M$12))*L12</f>
        <v>0</v>
      </c>
      <c r="H35" s="241">
        <f>($G$32/($K$12+$L$12+$M$12))*M12</f>
        <v>0</v>
      </c>
    </row>
    <row r="37" spans="1:12" ht="18.75">
      <c r="A37" s="754" t="s">
        <v>550</v>
      </c>
      <c r="B37" s="754"/>
      <c r="C37" s="754"/>
      <c r="D37" s="754"/>
      <c r="E37" s="754"/>
      <c r="F37" s="754"/>
      <c r="G37" s="754"/>
      <c r="H37" s="754"/>
      <c r="I37" s="243" t="s">
        <v>363</v>
      </c>
    </row>
    <row r="38" spans="1:12" ht="15.75">
      <c r="B38" s="4"/>
      <c r="I38" s="243" t="s">
        <v>364</v>
      </c>
    </row>
    <row r="39" spans="1:12">
      <c r="B39" s="71" t="s">
        <v>666</v>
      </c>
      <c r="C39" s="71" t="s">
        <v>667</v>
      </c>
      <c r="D39" s="71" t="s">
        <v>668</v>
      </c>
      <c r="E39" s="71" t="s">
        <v>669</v>
      </c>
      <c r="F39" s="71" t="s">
        <v>670</v>
      </c>
      <c r="G39" s="71" t="s">
        <v>671</v>
      </c>
      <c r="I39" s="750" t="s">
        <v>362</v>
      </c>
    </row>
    <row r="40" spans="1:12" ht="15.75">
      <c r="A40" s="256" t="s">
        <v>549</v>
      </c>
      <c r="B40" s="255">
        <f>'Crop Budget (Main)'!$C$71</f>
        <v>0</v>
      </c>
      <c r="C40" s="255">
        <f>B40*'Crop Budget (Main)'!$C$11</f>
        <v>0</v>
      </c>
      <c r="D40" s="255">
        <f>'Crop Budget (Main)'!$G$71</f>
        <v>0</v>
      </c>
      <c r="E40" s="255">
        <f>D40*'Crop Budget (Main)'!$G$11</f>
        <v>0</v>
      </c>
      <c r="F40" s="255">
        <f>'Crop Budget (Main)'!$K$71</f>
        <v>0</v>
      </c>
      <c r="G40" s="255">
        <f>F40*'Crop Budget (Main)'!$K$11</f>
        <v>0</v>
      </c>
      <c r="I40" s="750"/>
    </row>
    <row r="41" spans="1:12" ht="15.75">
      <c r="A41" s="158" t="s">
        <v>506</v>
      </c>
      <c r="B41" s="252">
        <f>C26</f>
        <v>0</v>
      </c>
      <c r="C41" s="252">
        <f>B41*'Crop Budget (Main)'!C11</f>
        <v>0</v>
      </c>
      <c r="D41" s="252">
        <f>D26</f>
        <v>0</v>
      </c>
      <c r="E41" s="252">
        <f>D41*'Crop Budget (Main)'!G11</f>
        <v>0</v>
      </c>
      <c r="F41" s="252">
        <f>E26</f>
        <v>0</v>
      </c>
      <c r="G41" s="252">
        <f>F41*'Crop Budget (Main)'!K11</f>
        <v>0</v>
      </c>
      <c r="K41" s="163" t="e">
        <f>#REF!</f>
        <v>#REF!</v>
      </c>
      <c r="L41" s="171" t="e">
        <f>#REF!*$K$16</f>
        <v>#REF!</v>
      </c>
    </row>
    <row r="42" spans="1:12" ht="15.75">
      <c r="A42" s="158" t="s">
        <v>513</v>
      </c>
      <c r="B42" s="253">
        <f>C35</f>
        <v>0</v>
      </c>
      <c r="C42" s="253">
        <f>B42*'Crop Budget (Main)'!C11</f>
        <v>0</v>
      </c>
      <c r="D42" s="253">
        <f>D35</f>
        <v>0</v>
      </c>
      <c r="E42" s="253">
        <f>D42*'Crop Budget (Main)'!G11</f>
        <v>0</v>
      </c>
      <c r="F42" s="253">
        <f>E35</f>
        <v>0</v>
      </c>
      <c r="G42" s="253">
        <f>F42*'Crop Budget (Main)'!K11</f>
        <v>0</v>
      </c>
      <c r="K42" s="163" t="e">
        <f>#REF!</f>
        <v>#REF!</v>
      </c>
      <c r="L42" s="171" t="e">
        <f>#REF!*$K$16</f>
        <v>#REF!</v>
      </c>
    </row>
    <row r="43" spans="1:12" ht="15.75">
      <c r="A43" s="244" t="s">
        <v>515</v>
      </c>
      <c r="B43" s="254">
        <f t="shared" ref="B43:G43" si="3">B41+B42</f>
        <v>0</v>
      </c>
      <c r="C43" s="254">
        <f t="shared" si="3"/>
        <v>0</v>
      </c>
      <c r="D43" s="254">
        <f t="shared" si="3"/>
        <v>0</v>
      </c>
      <c r="E43" s="254">
        <f t="shared" si="3"/>
        <v>0</v>
      </c>
      <c r="F43" s="254">
        <f t="shared" si="3"/>
        <v>0</v>
      </c>
      <c r="G43" s="254">
        <f t="shared" si="3"/>
        <v>0</v>
      </c>
      <c r="K43" s="224"/>
      <c r="L43" s="225" t="e">
        <f>SUM(L41:L42)</f>
        <v>#REF!</v>
      </c>
    </row>
    <row r="44" spans="1:12" ht="16.5" thickBot="1">
      <c r="A44" s="257" t="s">
        <v>551</v>
      </c>
      <c r="B44" s="258">
        <f t="shared" ref="B44:G44" si="4">B40-B43</f>
        <v>0</v>
      </c>
      <c r="C44" s="258">
        <f t="shared" si="4"/>
        <v>0</v>
      </c>
      <c r="D44" s="258">
        <f t="shared" si="4"/>
        <v>0</v>
      </c>
      <c r="E44" s="258">
        <f t="shared" si="4"/>
        <v>0</v>
      </c>
      <c r="F44" s="258">
        <f t="shared" si="4"/>
        <v>0</v>
      </c>
      <c r="G44" s="258">
        <f t="shared" si="4"/>
        <v>0</v>
      </c>
      <c r="K44" s="164"/>
      <c r="L44" s="172" t="e">
        <f>#REF!*#REF!</f>
        <v>#REF!</v>
      </c>
    </row>
    <row r="45" spans="1:12" ht="17.25" thickTop="1" thickBot="1">
      <c r="B45" s="251"/>
      <c r="K45" s="249"/>
      <c r="L45" s="250" t="e">
        <f>#REF!*#REF!</f>
        <v>#REF!</v>
      </c>
    </row>
    <row r="47" spans="1:12" ht="15.75">
      <c r="A47" s="219" t="s">
        <v>476</v>
      </c>
      <c r="B47" s="853" t="s">
        <v>672</v>
      </c>
      <c r="C47" s="854"/>
      <c r="D47" s="854" t="s">
        <v>673</v>
      </c>
      <c r="E47" s="854"/>
      <c r="F47" s="854" t="s">
        <v>674</v>
      </c>
      <c r="G47" s="854"/>
    </row>
    <row r="48" spans="1:12" ht="15.75">
      <c r="A48" s="220" t="s">
        <v>477</v>
      </c>
      <c r="B48" s="261" t="e">
        <f>('Crop Budget (Main)'!$C$70-'Capital &amp; Management'!$C$12)/'Crop Budget (Main)'!$C$10</f>
        <v>#DIV/0!</v>
      </c>
      <c r="C48" s="259" t="s">
        <v>557</v>
      </c>
      <c r="D48" s="261" t="e">
        <f>('Crop Budget (Main)'!$G$70-'Capital &amp; Management'!$D$12)/'Crop Budget (Main)'!$G$10</f>
        <v>#DIV/0!</v>
      </c>
      <c r="E48" s="259" t="s">
        <v>557</v>
      </c>
      <c r="F48" s="261" t="e">
        <f>('Crop Budget (Main)'!$K$70-'Capital &amp; Management'!$E$12)/'Crop Budget (Main)'!$K$10</f>
        <v>#DIV/0!</v>
      </c>
      <c r="G48" s="259" t="s">
        <v>557</v>
      </c>
    </row>
    <row r="49" spans="1:7" ht="15.75">
      <c r="A49" s="220" t="s">
        <v>478</v>
      </c>
      <c r="B49" s="509" t="e">
        <f>('Crop Budget (Main)'!$C$70-'Capital &amp; Management'!$C$12)/'Crop Budget (Main)'!$C$9</f>
        <v>#DIV/0!</v>
      </c>
      <c r="C49" s="260" t="s">
        <v>16</v>
      </c>
      <c r="D49" s="509" t="e">
        <f>('Crop Budget (Main)'!$G$70-'Capital &amp; Management'!$D$12)/'Crop Budget (Main)'!$G$9</f>
        <v>#DIV/0!</v>
      </c>
      <c r="E49" s="260" t="s">
        <v>16</v>
      </c>
      <c r="F49" s="509" t="e">
        <f>('Crop Budget (Main)'!$K$70-'Capital &amp; Management'!$E$12)/'Crop Budget (Main)'!$K$9</f>
        <v>#DIV/0!</v>
      </c>
      <c r="G49" s="260" t="s">
        <v>16</v>
      </c>
    </row>
    <row r="51" spans="1:7" ht="15.75">
      <c r="A51" s="219" t="s">
        <v>520</v>
      </c>
    </row>
    <row r="52" spans="1:7" ht="15.75">
      <c r="A52" s="220" t="s">
        <v>477</v>
      </c>
      <c r="B52" s="261" t="e">
        <f>('Crop Budget (Main)'!$C$70-'Capital &amp; Management'!$C$12+B43)/'Crop Budget (Main)'!$C$10</f>
        <v>#DIV/0!</v>
      </c>
      <c r="C52" s="259" t="s">
        <v>557</v>
      </c>
      <c r="D52" s="261" t="e">
        <f>('Crop Budget (Main)'!$G$70-'Capital &amp; Management'!$D$12+D43)/'Crop Budget (Main)'!$G$10</f>
        <v>#DIV/0!</v>
      </c>
      <c r="E52" s="259" t="s">
        <v>557</v>
      </c>
      <c r="F52" s="261" t="e">
        <f>('Crop Budget (Main)'!$K$70-'Capital &amp; Management'!$C$12+G43)/'Crop Budget (Main)'!$K$10</f>
        <v>#DIV/0!</v>
      </c>
      <c r="G52" s="259" t="s">
        <v>557</v>
      </c>
    </row>
    <row r="53" spans="1:7" ht="15.75">
      <c r="A53" s="220" t="s">
        <v>478</v>
      </c>
      <c r="B53" s="509" t="e">
        <f>('Crop Budget (Main)'!$C$70-'Capital &amp; Management'!$C$12+B43)/'Crop Budget (Main)'!$C$9</f>
        <v>#DIV/0!</v>
      </c>
      <c r="C53" s="260" t="s">
        <v>16</v>
      </c>
      <c r="D53" s="509" t="e">
        <f>('Crop Budget (Main)'!$G$70-'Capital &amp; Management'!$D$12+D43)/'Crop Budget (Main)'!$G$9</f>
        <v>#DIV/0!</v>
      </c>
      <c r="E53" s="260" t="s">
        <v>16</v>
      </c>
      <c r="F53" s="509" t="e">
        <f>('Crop Budget (Main)'!$K$70-'Capital &amp; Management'!$G$12+G43)/'Crop Budget (Main)'!$K$9</f>
        <v>#DIV/0!</v>
      </c>
      <c r="G53" s="260" t="s">
        <v>16</v>
      </c>
    </row>
  </sheetData>
  <sheetProtection algorithmName="SHA-512" hashValue="DNV9kuDwf4svBujpqGvvziKy2y2ZH4mwli9+ImyQnQcdXNYfHTaAQZfWqFAPQmrUepRdiuh5iYsh99C7nSomiQ==" saltValue="0POKVaT75LAjg8DxOnLEFA==" spinCount="100000" sheet="1" objects="1" scenarios="1"/>
  <mergeCells count="10">
    <mergeCell ref="A37:H37"/>
    <mergeCell ref="B47:C47"/>
    <mergeCell ref="D47:E47"/>
    <mergeCell ref="F47:G47"/>
    <mergeCell ref="I39:I40"/>
    <mergeCell ref="A3:H3"/>
    <mergeCell ref="I25:I26"/>
    <mergeCell ref="I11:I12"/>
    <mergeCell ref="A29:H29"/>
    <mergeCell ref="A18:H18"/>
  </mergeCells>
  <conditionalFormatting sqref="F14:H14">
    <cfRule type="dataBar" priority="9">
      <dataBar>
        <cfvo type="min"/>
        <cfvo type="max"/>
        <color rgb="FF63C384"/>
      </dataBar>
    </cfRule>
  </conditionalFormatting>
  <conditionalFormatting sqref="C14:E14">
    <cfRule type="dataBar" priority="10">
      <dataBar>
        <cfvo type="min"/>
        <cfvo type="max"/>
        <color rgb="FF63C384"/>
      </dataBar>
    </cfRule>
  </conditionalFormatting>
  <conditionalFormatting sqref="F12:H13">
    <cfRule type="dataBar" priority="513">
      <dataBar>
        <cfvo type="min"/>
        <cfvo type="max"/>
        <color rgb="FF63C384"/>
      </dataBar>
    </cfRule>
  </conditionalFormatting>
  <conditionalFormatting sqref="C12:E13">
    <cfRule type="dataBar" priority="515">
      <dataBar>
        <cfvo type="min"/>
        <cfvo type="max"/>
        <color rgb="FF63C384"/>
      </dataBar>
    </cfRule>
  </conditionalFormatting>
  <conditionalFormatting sqref="K41:K42">
    <cfRule type="dataBar" priority="3">
      <dataBar showValue="0">
        <cfvo type="min"/>
        <cfvo type="max"/>
        <color rgb="FF63C384"/>
      </dataBar>
      <extLst>
        <ext xmlns:x14="http://schemas.microsoft.com/office/spreadsheetml/2009/9/main" uri="{B025F937-C7B1-47D3-B67F-A62EFF666E3E}">
          <x14:id>{2AA36DEF-4ABA-4792-BEEB-B3B00529D24C}</x14:id>
        </ext>
      </extLst>
    </cfRule>
  </conditionalFormatting>
  <pageMargins left="0.7" right="0.7" top="0.75" bottom="0.75" header="0.3" footer="0.3"/>
  <pageSetup scale="62" orientation="landscape" r:id="rId1"/>
  <extLst>
    <ext xmlns:x14="http://schemas.microsoft.com/office/spreadsheetml/2009/9/main" uri="{78C0D931-6437-407d-A8EE-F0AAD7539E65}">
      <x14:conditionalFormattings>
        <x14:conditionalFormatting xmlns:xm="http://schemas.microsoft.com/office/excel/2006/main">
          <x14:cfRule type="dataBar" id="{2AA36DEF-4ABA-4792-BEEB-B3B00529D24C}">
            <x14:dataBar minLength="0" maxLength="100" border="1" negativeBarBorderColorSameAsPositive="0">
              <x14:cfvo type="autoMin"/>
              <x14:cfvo type="autoMax"/>
              <x14:borderColor rgb="FF63C384"/>
              <x14:negativeFillColor rgb="FFFF0000"/>
              <x14:negativeBorderColor rgb="FFFF0000"/>
              <x14:axisColor rgb="FF000000"/>
            </x14:dataBar>
          </x14:cfRule>
          <xm:sqref>K41:K42</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C0D98-0FD5-4A88-9C62-E7BDBB147E76}">
  <dimension ref="A1:K61"/>
  <sheetViews>
    <sheetView workbookViewId="0">
      <selection sqref="A1:F1"/>
    </sheetView>
  </sheetViews>
  <sheetFormatPr defaultRowHeight="15"/>
  <cols>
    <col min="1" max="1" width="40.28515625" bestFit="1" customWidth="1"/>
    <col min="2" max="2" width="17" bestFit="1" customWidth="1"/>
    <col min="3" max="3" width="16.7109375" bestFit="1" customWidth="1"/>
    <col min="4" max="4" width="24.140625" bestFit="1" customWidth="1"/>
    <col min="5" max="5" width="16.140625" bestFit="1" customWidth="1"/>
    <col min="6" max="6" width="16.42578125" bestFit="1" customWidth="1"/>
    <col min="9" max="11" width="9.140625" hidden="1" customWidth="1"/>
  </cols>
  <sheetData>
    <row r="1" spans="1:11" ht="18.75">
      <c r="A1" s="754" t="s">
        <v>526</v>
      </c>
      <c r="B1" s="754"/>
      <c r="C1" s="754"/>
      <c r="D1" s="754"/>
      <c r="E1" s="754"/>
      <c r="F1" s="754"/>
      <c r="I1" s="4" t="s">
        <v>76</v>
      </c>
      <c r="J1" s="4" t="s">
        <v>132</v>
      </c>
      <c r="K1" s="4" t="s">
        <v>133</v>
      </c>
    </row>
    <row r="2" spans="1:11" hidden="1">
      <c r="B2" s="142" t="s">
        <v>143</v>
      </c>
      <c r="C2" s="142" t="s">
        <v>143</v>
      </c>
      <c r="D2" s="142" t="s">
        <v>143</v>
      </c>
      <c r="I2" s="73">
        <f>'Crop Budget (Main)'!$C$11</f>
        <v>1</v>
      </c>
      <c r="J2" s="73">
        <f>'Crop Budget (Main)'!$G$11</f>
        <v>1</v>
      </c>
      <c r="K2" s="73">
        <f>'Crop Budget (Main)'!$K$11</f>
        <v>1</v>
      </c>
    </row>
    <row r="3" spans="1:11" hidden="1">
      <c r="B3" s="71" t="s">
        <v>556</v>
      </c>
      <c r="C3" s="71" t="s">
        <v>135</v>
      </c>
      <c r="D3" s="71" t="s">
        <v>559</v>
      </c>
      <c r="E3" s="4"/>
      <c r="F3" s="238" t="s">
        <v>485</v>
      </c>
    </row>
    <row r="4" spans="1:11" hidden="1">
      <c r="A4" s="239" t="s">
        <v>566</v>
      </c>
      <c r="B4" s="248">
        <v>0</v>
      </c>
      <c r="C4" s="248">
        <v>0</v>
      </c>
      <c r="D4" s="248">
        <v>0</v>
      </c>
      <c r="E4" s="4"/>
      <c r="F4" s="240">
        <f>SUM(B4:E4)</f>
        <v>0</v>
      </c>
    </row>
    <row r="5" spans="1:11" hidden="1">
      <c r="C5" s="142"/>
      <c r="D5" s="4"/>
      <c r="E5" s="142"/>
    </row>
    <row r="6" spans="1:11" hidden="1">
      <c r="B6" s="71" t="s">
        <v>561</v>
      </c>
      <c r="C6" s="71" t="s">
        <v>562</v>
      </c>
      <c r="D6" s="71" t="s">
        <v>563</v>
      </c>
      <c r="E6" s="142"/>
    </row>
    <row r="7" spans="1:11" hidden="1">
      <c r="A7" t="s">
        <v>525</v>
      </c>
      <c r="B7" s="241">
        <f>B4/I2</f>
        <v>0</v>
      </c>
      <c r="C7" s="241">
        <f>C4/J2</f>
        <v>0</v>
      </c>
      <c r="D7" s="241">
        <f>D4/K2</f>
        <v>0</v>
      </c>
      <c r="E7" s="242"/>
      <c r="F7" s="69"/>
    </row>
    <row r="8" spans="1:11" hidden="1">
      <c r="C8" s="4"/>
      <c r="D8" s="4"/>
      <c r="E8" s="4"/>
    </row>
    <row r="9" spans="1:11" hidden="1">
      <c r="C9" s="142" t="s">
        <v>143</v>
      </c>
      <c r="D9" s="4"/>
      <c r="E9" s="4"/>
    </row>
    <row r="10" spans="1:11" hidden="1">
      <c r="A10" t="s">
        <v>567</v>
      </c>
      <c r="B10" t="s">
        <v>527</v>
      </c>
      <c r="C10" s="248">
        <v>0</v>
      </c>
      <c r="E10" s="238"/>
    </row>
    <row r="11" spans="1:11" hidden="1">
      <c r="E11" s="241"/>
    </row>
    <row r="12" spans="1:11" hidden="1">
      <c r="B12" s="238" t="s">
        <v>564</v>
      </c>
      <c r="C12" s="238" t="s">
        <v>565</v>
      </c>
      <c r="D12" s="238" t="s">
        <v>563</v>
      </c>
      <c r="F12" s="238" t="s">
        <v>485</v>
      </c>
    </row>
    <row r="13" spans="1:11" hidden="1">
      <c r="B13" s="241">
        <f>$C$10/($I$2+$J$2+$K$2)*I2</f>
        <v>0</v>
      </c>
      <c r="C13" s="241">
        <f>$C$10/($I$2+$J$2+$K$2)*J2</f>
        <v>0</v>
      </c>
      <c r="D13" s="241">
        <f>$C$10/($I$2+$J$2+$K$2)*K2</f>
        <v>0</v>
      </c>
      <c r="F13" s="240">
        <f>SUM(B13:E13)</f>
        <v>0</v>
      </c>
    </row>
    <row r="14" spans="1:11" hidden="1"/>
    <row r="15" spans="1:11" hidden="1">
      <c r="B15" s="71" t="s">
        <v>561</v>
      </c>
      <c r="C15" s="71" t="s">
        <v>562</v>
      </c>
      <c r="D15" s="71" t="s">
        <v>563</v>
      </c>
    </row>
    <row r="16" spans="1:11" hidden="1">
      <c r="B16" s="241">
        <f>B13/I2</f>
        <v>0</v>
      </c>
      <c r="C16" s="241">
        <f>C13/J2</f>
        <v>0</v>
      </c>
      <c r="D16" s="241">
        <f>D13/K2</f>
        <v>0</v>
      </c>
    </row>
    <row r="17" spans="1:6" hidden="1"/>
    <row r="18" spans="1:6">
      <c r="A18" t="s">
        <v>526</v>
      </c>
      <c r="C18" s="142" t="s">
        <v>143</v>
      </c>
      <c r="D18" s="4"/>
    </row>
    <row r="19" spans="1:6">
      <c r="A19" t="s">
        <v>528</v>
      </c>
      <c r="B19" t="s">
        <v>527</v>
      </c>
      <c r="C19" s="275">
        <v>0</v>
      </c>
    </row>
    <row r="21" spans="1:6">
      <c r="B21" s="238" t="s">
        <v>564</v>
      </c>
      <c r="C21" s="238" t="s">
        <v>652</v>
      </c>
      <c r="D21" s="238" t="s">
        <v>653</v>
      </c>
      <c r="F21" s="238" t="s">
        <v>485</v>
      </c>
    </row>
    <row r="22" spans="1:6">
      <c r="B22" s="241">
        <f>$C$19/($I$2+$J$2+$K$2)*I2</f>
        <v>0</v>
      </c>
      <c r="C22" s="241">
        <f>$C$19/($I$2+$J$2+$K$2)*J2</f>
        <v>0</v>
      </c>
      <c r="D22" s="241">
        <f>$C$19/($I$2+$J$2+$K$2)*K2</f>
        <v>0</v>
      </c>
      <c r="F22" s="240">
        <f>SUM(B22:E22)</f>
        <v>0</v>
      </c>
    </row>
    <row r="24" spans="1:6">
      <c r="B24" s="71" t="s">
        <v>561</v>
      </c>
      <c r="C24" s="71" t="s">
        <v>651</v>
      </c>
      <c r="D24" s="71" t="s">
        <v>653</v>
      </c>
    </row>
    <row r="25" spans="1:6" ht="15.75">
      <c r="B25" s="241">
        <f>B22/I2</f>
        <v>0</v>
      </c>
      <c r="C25" s="241">
        <f>C22/J2</f>
        <v>0</v>
      </c>
      <c r="D25" s="241">
        <f>D22/K2</f>
        <v>0</v>
      </c>
      <c r="F25" s="243"/>
    </row>
    <row r="26" spans="1:6" ht="15.75">
      <c r="F26" s="243"/>
    </row>
    <row r="27" spans="1:6">
      <c r="F27" s="750"/>
    </row>
    <row r="28" spans="1:6">
      <c r="F28" s="750"/>
    </row>
    <row r="30" spans="1:6">
      <c r="A30" t="s">
        <v>531</v>
      </c>
      <c r="B30" s="238" t="s">
        <v>564</v>
      </c>
      <c r="C30" s="238" t="s">
        <v>652</v>
      </c>
      <c r="D30" s="238" t="s">
        <v>653</v>
      </c>
    </row>
    <row r="31" spans="1:6">
      <c r="B31" s="241">
        <f>B22+B13+B4</f>
        <v>0</v>
      </c>
      <c r="C31" s="241">
        <f t="shared" ref="C31:D31" si="0">C22+C13+C4</f>
        <v>0</v>
      </c>
      <c r="D31" s="241">
        <f t="shared" si="0"/>
        <v>0</v>
      </c>
    </row>
    <row r="33" spans="1:6">
      <c r="B33" s="71" t="s">
        <v>561</v>
      </c>
      <c r="C33" s="71" t="s">
        <v>651</v>
      </c>
      <c r="D33" s="71" t="s">
        <v>653</v>
      </c>
    </row>
    <row r="34" spans="1:6">
      <c r="B34" s="241">
        <f>B31/I2</f>
        <v>0</v>
      </c>
      <c r="C34" s="241">
        <f>C31/J2</f>
        <v>0</v>
      </c>
      <c r="D34" s="241">
        <f>D31/K2</f>
        <v>0</v>
      </c>
    </row>
    <row r="37" spans="1:6" ht="18.75" hidden="1">
      <c r="A37" s="752" t="s">
        <v>100</v>
      </c>
      <c r="B37" s="752"/>
      <c r="C37" s="752"/>
      <c r="D37" s="752"/>
      <c r="E37" s="752"/>
      <c r="F37" s="752"/>
    </row>
    <row r="38" spans="1:6" hidden="1">
      <c r="B38" s="142" t="s">
        <v>143</v>
      </c>
      <c r="C38" s="142" t="s">
        <v>143</v>
      </c>
      <c r="D38" s="142" t="s">
        <v>143</v>
      </c>
    </row>
    <row r="39" spans="1:6" hidden="1">
      <c r="A39" t="s">
        <v>595</v>
      </c>
      <c r="B39" s="71" t="s">
        <v>76</v>
      </c>
      <c r="C39" s="71" t="s">
        <v>132</v>
      </c>
      <c r="D39" s="71" t="s">
        <v>133</v>
      </c>
    </row>
    <row r="40" spans="1:6" hidden="1">
      <c r="B40" s="248">
        <v>0</v>
      </c>
      <c r="C40" s="248">
        <v>0</v>
      </c>
      <c r="D40" s="248">
        <v>0</v>
      </c>
    </row>
    <row r="41" spans="1:6" hidden="1">
      <c r="C41" s="142"/>
      <c r="D41" s="4"/>
    </row>
    <row r="42" spans="1:6" hidden="1">
      <c r="B42" s="71" t="s">
        <v>596</v>
      </c>
      <c r="C42" s="71" t="s">
        <v>597</v>
      </c>
      <c r="D42" s="71" t="s">
        <v>598</v>
      </c>
    </row>
    <row r="43" spans="1:6" hidden="1">
      <c r="B43" s="241">
        <f>B40/I2</f>
        <v>0</v>
      </c>
      <c r="C43" s="241">
        <f>C40/J2</f>
        <v>0</v>
      </c>
      <c r="D43" s="241">
        <f>D40/K2</f>
        <v>0</v>
      </c>
    </row>
    <row r="44" spans="1:6" hidden="1">
      <c r="C44" s="4"/>
      <c r="D44" s="4"/>
    </row>
    <row r="45" spans="1:6" hidden="1">
      <c r="C45" s="142" t="s">
        <v>143</v>
      </c>
      <c r="D45" s="4"/>
    </row>
    <row r="46" spans="1:6" hidden="1">
      <c r="B46" t="s">
        <v>527</v>
      </c>
      <c r="C46" s="248">
        <v>0</v>
      </c>
    </row>
    <row r="47" spans="1:6" hidden="1"/>
    <row r="48" spans="1:6" hidden="1">
      <c r="B48" s="71" t="s">
        <v>599</v>
      </c>
      <c r="C48" s="71" t="s">
        <v>600</v>
      </c>
      <c r="D48" s="71" t="s">
        <v>601</v>
      </c>
    </row>
    <row r="49" spans="1:4" hidden="1">
      <c r="B49" s="241">
        <f>$C$46/($I$2+$J$2+$K$2)*I2</f>
        <v>0</v>
      </c>
      <c r="C49" s="241">
        <f>$C$46/($I$2+$J$2+$K$2)*J2</f>
        <v>0</v>
      </c>
      <c r="D49" s="241">
        <f>$C$46/($I$2+$J$2+$K$2)*K2</f>
        <v>0</v>
      </c>
    </row>
    <row r="50" spans="1:4" hidden="1"/>
    <row r="51" spans="1:4" hidden="1">
      <c r="B51" s="71" t="s">
        <v>596</v>
      </c>
      <c r="C51" s="71" t="s">
        <v>597</v>
      </c>
      <c r="D51" s="71" t="s">
        <v>598</v>
      </c>
    </row>
    <row r="52" spans="1:4" hidden="1">
      <c r="B52" s="241">
        <f>B49/I2</f>
        <v>0</v>
      </c>
      <c r="C52" s="241">
        <f>C49/J2</f>
        <v>0</v>
      </c>
      <c r="D52" s="241">
        <f>D49/K2</f>
        <v>0</v>
      </c>
    </row>
    <row r="53" spans="1:4" hidden="1"/>
    <row r="54" spans="1:4" hidden="1"/>
    <row r="55" spans="1:4" hidden="1"/>
    <row r="56" spans="1:4" hidden="1">
      <c r="A56" t="s">
        <v>602</v>
      </c>
      <c r="B56" s="71" t="s">
        <v>599</v>
      </c>
      <c r="C56" s="71" t="s">
        <v>600</v>
      </c>
      <c r="D56" s="71" t="s">
        <v>601</v>
      </c>
    </row>
    <row r="57" spans="1:4" hidden="1">
      <c r="B57" s="241">
        <f>B49+B40</f>
        <v>0</v>
      </c>
      <c r="C57" s="241">
        <f t="shared" ref="C57:D57" si="1">C49+C40</f>
        <v>0</v>
      </c>
      <c r="D57" s="241">
        <f t="shared" si="1"/>
        <v>0</v>
      </c>
    </row>
    <row r="58" spans="1:4" hidden="1"/>
    <row r="59" spans="1:4" hidden="1">
      <c r="B59" s="71" t="s">
        <v>596</v>
      </c>
      <c r="C59" s="71" t="s">
        <v>597</v>
      </c>
      <c r="D59" s="71" t="s">
        <v>598</v>
      </c>
    </row>
    <row r="60" spans="1:4" hidden="1">
      <c r="B60" s="241">
        <f>B57/I2</f>
        <v>0</v>
      </c>
      <c r="C60" s="241">
        <f t="shared" ref="C60:D60" si="2">C57/J2</f>
        <v>0</v>
      </c>
      <c r="D60" s="241">
        <f t="shared" si="2"/>
        <v>0</v>
      </c>
    </row>
    <row r="61" spans="1:4" hidden="1"/>
  </sheetData>
  <sheetProtection algorithmName="SHA-512" hashValue="SbuuHK3d6N7jzl5UHTHIB8g2zIKbARZt3y0RufVJwGE2gc6EarJqVU8iu2WW5OLRVOvDpsvI4QDyc3B+g6CuFQ==" saltValue="Beva/1dgMLTHxjfnbqFxNg==" spinCount="100000" sheet="1" objects="1" scenarios="1"/>
  <mergeCells count="3">
    <mergeCell ref="A1:F1"/>
    <mergeCell ref="F27:F28"/>
    <mergeCell ref="A37:F37"/>
  </mergeCells>
  <pageMargins left="0.7" right="0.7" top="0.75" bottom="0.75" header="0.3" footer="0.3"/>
  <pageSetup orientation="portrait"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76E20-4F03-4794-A418-71F4565FEE41}">
  <dimension ref="A1:G57"/>
  <sheetViews>
    <sheetView workbookViewId="0">
      <selection activeCell="H13" sqref="H13"/>
    </sheetView>
  </sheetViews>
  <sheetFormatPr defaultColWidth="9.140625" defaultRowHeight="15"/>
  <cols>
    <col min="2" max="2" width="32.28515625" bestFit="1" customWidth="1"/>
    <col min="3" max="3" width="12.5703125" bestFit="1" customWidth="1"/>
    <col min="4" max="4" width="9.85546875" bestFit="1" customWidth="1"/>
    <col min="5" max="5" width="16.85546875" bestFit="1" customWidth="1"/>
    <col min="6" max="6" width="31.28515625" bestFit="1" customWidth="1"/>
  </cols>
  <sheetData>
    <row r="1" spans="1:7" ht="18.75">
      <c r="A1" s="754" t="s">
        <v>604</v>
      </c>
      <c r="B1" s="754"/>
      <c r="C1" s="754"/>
      <c r="D1" s="754"/>
      <c r="E1" s="754"/>
      <c r="F1" s="754"/>
    </row>
    <row r="2" spans="1:7">
      <c r="B2" s="139"/>
      <c r="C2" s="246" t="s">
        <v>605</v>
      </c>
      <c r="D2" s="246" t="s">
        <v>126</v>
      </c>
      <c r="E2" s="246" t="s">
        <v>606</v>
      </c>
      <c r="F2" s="246" t="s">
        <v>607</v>
      </c>
    </row>
    <row r="3" spans="1:7">
      <c r="B3" s="268"/>
      <c r="C3" s="269"/>
      <c r="D3" s="270" t="s">
        <v>143</v>
      </c>
      <c r="E3" s="269"/>
      <c r="F3" s="271"/>
    </row>
    <row r="4" spans="1:7">
      <c r="B4" t="s">
        <v>556</v>
      </c>
      <c r="C4" s="4">
        <f>'Crop Budget (Main)'!C11</f>
        <v>1</v>
      </c>
      <c r="D4" s="272">
        <v>1</v>
      </c>
      <c r="E4" s="241">
        <f>'Crop Budget (Main)'!C17</f>
        <v>0</v>
      </c>
      <c r="F4" s="241">
        <f>'Crop Budget (Main)'!C60</f>
        <v>0</v>
      </c>
      <c r="G4" s="273"/>
    </row>
    <row r="5" spans="1:7">
      <c r="B5" t="s">
        <v>135</v>
      </c>
      <c r="C5" s="4">
        <f>'Crop Budget (Main)'!G11</f>
        <v>1</v>
      </c>
      <c r="D5" s="272">
        <v>1</v>
      </c>
      <c r="E5" s="241">
        <f>'Crop Budget (Main)'!G17</f>
        <v>0</v>
      </c>
      <c r="F5" s="241">
        <f>'Crop Budget (Main)'!G60</f>
        <v>0</v>
      </c>
      <c r="G5" s="273"/>
    </row>
    <row r="6" spans="1:7">
      <c r="B6" t="s">
        <v>559</v>
      </c>
      <c r="C6" s="4">
        <f>'Crop Budget (Main)'!K11</f>
        <v>1</v>
      </c>
      <c r="D6" s="272">
        <v>1</v>
      </c>
      <c r="E6" s="241">
        <f>'Crop Budget (Main)'!K17</f>
        <v>0</v>
      </c>
      <c r="F6" s="241">
        <f>'Crop Budget (Main)'!K60</f>
        <v>0</v>
      </c>
      <c r="G6" s="273"/>
    </row>
    <row r="8" spans="1:7">
      <c r="C8" s="4"/>
      <c r="E8" s="142" t="s">
        <v>143</v>
      </c>
    </row>
    <row r="9" spans="1:7">
      <c r="B9" t="s">
        <v>608</v>
      </c>
      <c r="C9" s="274">
        <f>SUMPRODUCT(D4:D6,F4:F6)</f>
        <v>0</v>
      </c>
      <c r="D9" s="4" t="s">
        <v>609</v>
      </c>
      <c r="E9" s="275">
        <v>350000</v>
      </c>
      <c r="F9" s="276" t="s">
        <v>610</v>
      </c>
    </row>
    <row r="10" spans="1:7">
      <c r="B10" t="s">
        <v>622</v>
      </c>
      <c r="C10" s="277">
        <f>D4</f>
        <v>1</v>
      </c>
      <c r="D10" s="4" t="s">
        <v>611</v>
      </c>
      <c r="E10" s="272">
        <v>50</v>
      </c>
      <c r="F10" s="276" t="s">
        <v>625</v>
      </c>
    </row>
    <row r="11" spans="1:7">
      <c r="B11" t="s">
        <v>623</v>
      </c>
      <c r="C11" s="277">
        <f>D5</f>
        <v>1</v>
      </c>
      <c r="D11" s="4" t="s">
        <v>611</v>
      </c>
      <c r="E11" s="272">
        <v>50</v>
      </c>
      <c r="F11" s="276" t="s">
        <v>626</v>
      </c>
    </row>
    <row r="12" spans="1:7">
      <c r="B12" t="s">
        <v>624</v>
      </c>
      <c r="C12" s="277">
        <f>D6</f>
        <v>1</v>
      </c>
      <c r="D12" s="4" t="s">
        <v>611</v>
      </c>
      <c r="E12" s="272">
        <v>50</v>
      </c>
      <c r="F12" s="276" t="s">
        <v>627</v>
      </c>
    </row>
    <row r="13" spans="1:7" ht="15.75" thickBot="1">
      <c r="B13" s="278" t="s">
        <v>126</v>
      </c>
      <c r="C13" s="279">
        <f>SUM(D4:D6)</f>
        <v>3</v>
      </c>
      <c r="D13" s="280" t="s">
        <v>268</v>
      </c>
      <c r="E13" s="281">
        <v>638</v>
      </c>
      <c r="F13" s="282" t="s">
        <v>612</v>
      </c>
    </row>
    <row r="14" spans="1:7" ht="15.75" thickTop="1"/>
    <row r="15" spans="1:7">
      <c r="B15" t="s">
        <v>613</v>
      </c>
      <c r="C15" s="283">
        <f>SUMPRODUCT(D4:D6,E4:E6)</f>
        <v>0</v>
      </c>
      <c r="D15" s="284" t="s">
        <v>614</v>
      </c>
    </row>
    <row r="20" spans="2:2">
      <c r="B20" s="139" t="s">
        <v>615</v>
      </c>
    </row>
    <row r="21" spans="2:2">
      <c r="B21" t="s">
        <v>616</v>
      </c>
    </row>
    <row r="22" spans="2:2">
      <c r="B22" t="s">
        <v>617</v>
      </c>
    </row>
    <row r="23" spans="2:2">
      <c r="B23" t="s">
        <v>618</v>
      </c>
    </row>
    <row r="24" spans="2:2">
      <c r="B24" t="s">
        <v>619</v>
      </c>
    </row>
    <row r="25" spans="2:2">
      <c r="B25" t="s">
        <v>620</v>
      </c>
    </row>
    <row r="57" spans="2:2">
      <c r="B57" t="s">
        <v>621</v>
      </c>
    </row>
  </sheetData>
  <mergeCells count="1">
    <mergeCell ref="A1:F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41ABB-1A6B-40E2-9E20-0666E4E83F44}">
  <dimension ref="A1:N103"/>
  <sheetViews>
    <sheetView topLeftCell="A2" workbookViewId="0">
      <selection activeCell="A3" sqref="A3:F3"/>
    </sheetView>
  </sheetViews>
  <sheetFormatPr defaultRowHeight="15"/>
  <cols>
    <col min="1" max="1" width="31.42578125" bestFit="1" customWidth="1"/>
    <col min="2" max="2" width="8.7109375" bestFit="1" customWidth="1"/>
    <col min="4" max="4" width="11.140625" bestFit="1" customWidth="1"/>
    <col min="5" max="5" width="11" bestFit="1" customWidth="1"/>
    <col min="6" max="6" width="12.85546875" bestFit="1" customWidth="1"/>
    <col min="10" max="10" width="8.7109375" bestFit="1" customWidth="1"/>
    <col min="11" max="11" width="9.28515625" bestFit="1" customWidth="1"/>
    <col min="12" max="12" width="10.7109375" bestFit="1" customWidth="1"/>
    <col min="13" max="13" width="7.140625" bestFit="1" customWidth="1"/>
    <col min="14" max="14" width="12.28515625" bestFit="1" customWidth="1"/>
  </cols>
  <sheetData>
    <row r="1" spans="1:14" hidden="1">
      <c r="A1" s="4">
        <v>1</v>
      </c>
      <c r="B1" s="4">
        <v>2</v>
      </c>
      <c r="C1" s="4">
        <v>3</v>
      </c>
      <c r="D1" s="4">
        <v>4</v>
      </c>
      <c r="E1" s="4">
        <v>5</v>
      </c>
      <c r="F1" s="5" t="s">
        <v>250</v>
      </c>
    </row>
    <row r="2" spans="1:14" ht="18.75">
      <c r="A2" s="754" t="s">
        <v>571</v>
      </c>
      <c r="B2" s="754"/>
      <c r="C2" s="754"/>
      <c r="D2" s="754"/>
      <c r="E2" s="754"/>
      <c r="F2" s="754"/>
      <c r="H2" s="521" t="s">
        <v>707</v>
      </c>
      <c r="I2" s="521" t="s">
        <v>46</v>
      </c>
      <c r="J2" s="521" t="s">
        <v>49</v>
      </c>
      <c r="K2" s="521" t="s">
        <v>48</v>
      </c>
      <c r="L2" s="521" t="s">
        <v>47</v>
      </c>
      <c r="M2" s="521" t="s">
        <v>212</v>
      </c>
      <c r="N2" s="522" t="s">
        <v>213</v>
      </c>
    </row>
    <row r="3" spans="1:14" ht="15.75">
      <c r="A3" s="527" t="s">
        <v>46</v>
      </c>
      <c r="B3" s="527" t="s">
        <v>49</v>
      </c>
      <c r="C3" s="527" t="s">
        <v>48</v>
      </c>
      <c r="D3" s="527" t="s">
        <v>47</v>
      </c>
      <c r="E3" s="527" t="s">
        <v>212</v>
      </c>
      <c r="F3" s="522" t="s">
        <v>213</v>
      </c>
      <c r="H3" s="521"/>
      <c r="I3" s="523" t="s">
        <v>51</v>
      </c>
      <c r="J3" s="521" t="s">
        <v>52</v>
      </c>
      <c r="K3" s="524">
        <v>8</v>
      </c>
      <c r="L3" s="521" t="s">
        <v>53</v>
      </c>
      <c r="M3" s="521" t="s">
        <v>188</v>
      </c>
      <c r="N3" s="522">
        <v>4</v>
      </c>
    </row>
    <row r="4" spans="1:14" ht="15.75" hidden="1">
      <c r="A4" s="2" t="s">
        <v>13</v>
      </c>
      <c r="B4" s="2"/>
      <c r="C4" s="2">
        <v>1</v>
      </c>
      <c r="D4" s="2" t="s">
        <v>13</v>
      </c>
      <c r="E4" s="2" t="s">
        <v>13</v>
      </c>
      <c r="F4" s="266"/>
    </row>
    <row r="5" spans="1:14" ht="15.75" hidden="1">
      <c r="A5" s="2" t="s">
        <v>572</v>
      </c>
      <c r="B5" s="2" t="s">
        <v>50</v>
      </c>
      <c r="C5" s="267">
        <v>4</v>
      </c>
      <c r="D5" s="2" t="s">
        <v>53</v>
      </c>
      <c r="E5" s="2"/>
      <c r="F5" s="266">
        <v>4</v>
      </c>
    </row>
    <row r="6" spans="1:14" ht="15.75" hidden="1">
      <c r="A6" s="2" t="s">
        <v>573</v>
      </c>
      <c r="B6" s="2" t="s">
        <v>50</v>
      </c>
      <c r="C6" s="267">
        <v>4</v>
      </c>
      <c r="D6" s="2" t="s">
        <v>53</v>
      </c>
      <c r="E6" s="2"/>
      <c r="F6" s="266" t="s">
        <v>574</v>
      </c>
    </row>
    <row r="7" spans="1:14" ht="15.75" hidden="1">
      <c r="A7" s="2" t="s">
        <v>575</v>
      </c>
      <c r="B7" s="2" t="s">
        <v>58</v>
      </c>
      <c r="C7" s="267">
        <v>1</v>
      </c>
      <c r="D7" s="2" t="s">
        <v>30</v>
      </c>
      <c r="E7" s="2"/>
      <c r="F7" s="266" t="s">
        <v>233</v>
      </c>
    </row>
    <row r="8" spans="1:14" ht="15.75" hidden="1">
      <c r="A8" s="2" t="s">
        <v>297</v>
      </c>
      <c r="B8" s="2" t="s">
        <v>55</v>
      </c>
      <c r="C8" s="2">
        <v>128</v>
      </c>
      <c r="D8" s="2" t="s">
        <v>53</v>
      </c>
      <c r="E8" s="2" t="s">
        <v>188</v>
      </c>
      <c r="F8" s="266">
        <v>1</v>
      </c>
    </row>
    <row r="9" spans="1:14" ht="15.75" hidden="1">
      <c r="A9" s="2" t="s">
        <v>296</v>
      </c>
      <c r="B9" s="2" t="s">
        <v>52</v>
      </c>
      <c r="C9" s="267">
        <v>8</v>
      </c>
      <c r="D9" s="2" t="s">
        <v>53</v>
      </c>
      <c r="E9" s="2" t="s">
        <v>184</v>
      </c>
      <c r="F9" s="266" t="s">
        <v>234</v>
      </c>
    </row>
    <row r="10" spans="1:14" ht="15.75" hidden="1">
      <c r="A10" s="2" t="s">
        <v>194</v>
      </c>
      <c r="B10" s="2" t="s">
        <v>52</v>
      </c>
      <c r="C10" s="267">
        <v>8</v>
      </c>
      <c r="D10" s="2" t="s">
        <v>53</v>
      </c>
      <c r="E10" s="2"/>
      <c r="F10" s="266">
        <v>6</v>
      </c>
    </row>
    <row r="11" spans="1:14" ht="15.75" hidden="1">
      <c r="A11" s="2" t="s">
        <v>298</v>
      </c>
      <c r="B11" s="2" t="s">
        <v>55</v>
      </c>
      <c r="C11" s="2">
        <v>128</v>
      </c>
      <c r="D11" s="2" t="s">
        <v>53</v>
      </c>
      <c r="E11" s="2" t="s">
        <v>188</v>
      </c>
      <c r="F11" s="266">
        <v>2</v>
      </c>
    </row>
    <row r="12" spans="1:14" ht="15.75" hidden="1">
      <c r="A12" s="2" t="s">
        <v>299</v>
      </c>
      <c r="B12" s="2" t="s">
        <v>55</v>
      </c>
      <c r="C12" s="2">
        <v>128</v>
      </c>
      <c r="D12" s="2" t="s">
        <v>53</v>
      </c>
      <c r="E12" s="2" t="s">
        <v>188</v>
      </c>
      <c r="F12" s="266">
        <v>1</v>
      </c>
    </row>
    <row r="13" spans="1:14" ht="15.75">
      <c r="A13" s="518" t="s">
        <v>699</v>
      </c>
      <c r="B13" s="518" t="s">
        <v>699</v>
      </c>
      <c r="C13" s="519">
        <v>0</v>
      </c>
      <c r="D13" s="518" t="s">
        <v>699</v>
      </c>
      <c r="E13" s="518" t="s">
        <v>699</v>
      </c>
      <c r="F13" s="519">
        <v>0</v>
      </c>
    </row>
    <row r="14" spans="1:14" ht="15.75">
      <c r="A14" s="518" t="s">
        <v>699</v>
      </c>
      <c r="B14" s="518" t="s">
        <v>699</v>
      </c>
      <c r="C14" s="519">
        <v>0</v>
      </c>
      <c r="D14" s="518" t="s">
        <v>699</v>
      </c>
      <c r="E14" s="518" t="s">
        <v>699</v>
      </c>
      <c r="F14" s="519">
        <v>0</v>
      </c>
    </row>
    <row r="15" spans="1:14" ht="15.75">
      <c r="A15" s="518" t="s">
        <v>699</v>
      </c>
      <c r="B15" s="518" t="s">
        <v>699</v>
      </c>
      <c r="C15" s="519">
        <v>0</v>
      </c>
      <c r="D15" s="518" t="s">
        <v>699</v>
      </c>
      <c r="E15" s="518" t="s">
        <v>699</v>
      </c>
      <c r="F15" s="519">
        <v>0</v>
      </c>
    </row>
    <row r="16" spans="1:14" ht="15.75">
      <c r="A16" s="518" t="s">
        <v>699</v>
      </c>
      <c r="B16" s="518" t="s">
        <v>699</v>
      </c>
      <c r="C16" s="519">
        <v>0</v>
      </c>
      <c r="D16" s="518" t="s">
        <v>699</v>
      </c>
      <c r="E16" s="518" t="s">
        <v>699</v>
      </c>
      <c r="F16" s="519">
        <v>0</v>
      </c>
    </row>
    <row r="17" spans="1:6" ht="15.75">
      <c r="A17" s="2"/>
      <c r="C17" s="3"/>
      <c r="F17" s="5"/>
    </row>
    <row r="18" spans="1:6" ht="15.75">
      <c r="A18" s="2"/>
      <c r="C18" s="3"/>
      <c r="F18" s="5"/>
    </row>
    <row r="19" spans="1:6" ht="18.75">
      <c r="A19" s="754" t="s">
        <v>576</v>
      </c>
      <c r="B19" s="754"/>
      <c r="C19" s="754"/>
      <c r="D19" s="754"/>
      <c r="E19" s="754"/>
      <c r="F19" s="754"/>
    </row>
    <row r="20" spans="1:6">
      <c r="A20" s="527" t="s">
        <v>46</v>
      </c>
      <c r="B20" s="527" t="s">
        <v>49</v>
      </c>
      <c r="C20" s="527" t="s">
        <v>48</v>
      </c>
      <c r="D20" s="527" t="s">
        <v>47</v>
      </c>
      <c r="E20" s="527" t="s">
        <v>212</v>
      </c>
      <c r="F20" s="522" t="s">
        <v>213</v>
      </c>
    </row>
    <row r="21" spans="1:6" hidden="1">
      <c r="A21" t="s">
        <v>13</v>
      </c>
      <c r="C21" s="3">
        <v>1</v>
      </c>
      <c r="D21" t="s">
        <v>13</v>
      </c>
      <c r="E21" t="s">
        <v>13</v>
      </c>
      <c r="F21" s="5"/>
    </row>
    <row r="22" spans="1:6" hidden="1">
      <c r="A22" t="s">
        <v>590</v>
      </c>
      <c r="B22" t="s">
        <v>55</v>
      </c>
      <c r="C22" s="3">
        <v>1</v>
      </c>
      <c r="D22" t="s">
        <v>56</v>
      </c>
      <c r="F22" s="5" t="s">
        <v>235</v>
      </c>
    </row>
    <row r="23" spans="1:6" hidden="1">
      <c r="A23" t="s">
        <v>295</v>
      </c>
      <c r="B23" t="s">
        <v>58</v>
      </c>
      <c r="C23" s="3">
        <v>1</v>
      </c>
      <c r="D23" t="s">
        <v>30</v>
      </c>
      <c r="F23" s="5" t="s">
        <v>230</v>
      </c>
    </row>
    <row r="24" spans="1:6" hidden="1">
      <c r="A24" t="s">
        <v>577</v>
      </c>
      <c r="B24" t="s">
        <v>58</v>
      </c>
      <c r="C24" s="3">
        <v>1</v>
      </c>
      <c r="D24" t="s">
        <v>30</v>
      </c>
      <c r="F24" s="5" t="s">
        <v>230</v>
      </c>
    </row>
    <row r="25" spans="1:6" hidden="1">
      <c r="A25" t="s">
        <v>578</v>
      </c>
      <c r="B25" t="s">
        <v>58</v>
      </c>
      <c r="C25" s="3">
        <v>1</v>
      </c>
      <c r="D25" t="s">
        <v>30</v>
      </c>
      <c r="F25" s="5" t="s">
        <v>230</v>
      </c>
    </row>
    <row r="26" spans="1:6" hidden="1">
      <c r="A26" t="s">
        <v>579</v>
      </c>
      <c r="B26" t="s">
        <v>52</v>
      </c>
      <c r="C26" s="3">
        <v>8</v>
      </c>
      <c r="D26" t="s">
        <v>53</v>
      </c>
      <c r="F26" s="5" t="s">
        <v>580</v>
      </c>
    </row>
    <row r="27" spans="1:6">
      <c r="A27" t="s">
        <v>215</v>
      </c>
      <c r="B27" t="s">
        <v>55</v>
      </c>
      <c r="C27" s="3">
        <v>128</v>
      </c>
      <c r="D27" t="s">
        <v>53</v>
      </c>
      <c r="F27" s="5" t="s">
        <v>236</v>
      </c>
    </row>
    <row r="28" spans="1:6" ht="15.75">
      <c r="A28" s="518" t="s">
        <v>699</v>
      </c>
      <c r="B28" s="518" t="s">
        <v>699</v>
      </c>
      <c r="C28" s="519">
        <v>0</v>
      </c>
      <c r="D28" s="518" t="s">
        <v>699</v>
      </c>
      <c r="E28" s="518" t="s">
        <v>699</v>
      </c>
      <c r="F28" s="519">
        <v>0</v>
      </c>
    </row>
    <row r="29" spans="1:6" ht="15.75">
      <c r="A29" s="518" t="s">
        <v>699</v>
      </c>
      <c r="B29" s="518" t="s">
        <v>699</v>
      </c>
      <c r="C29" s="519">
        <v>0</v>
      </c>
      <c r="D29" s="518" t="s">
        <v>699</v>
      </c>
      <c r="E29" s="518" t="s">
        <v>699</v>
      </c>
      <c r="F29" s="519">
        <v>0</v>
      </c>
    </row>
    <row r="30" spans="1:6" ht="15.75">
      <c r="A30" s="518" t="s">
        <v>699</v>
      </c>
      <c r="B30" s="518" t="s">
        <v>699</v>
      </c>
      <c r="C30" s="519">
        <v>0</v>
      </c>
      <c r="D30" s="518" t="s">
        <v>699</v>
      </c>
      <c r="E30" s="518" t="s">
        <v>699</v>
      </c>
      <c r="F30" s="519">
        <v>0</v>
      </c>
    </row>
    <row r="31" spans="1:6" ht="15.75">
      <c r="A31" s="518" t="s">
        <v>699</v>
      </c>
      <c r="B31" s="518" t="s">
        <v>699</v>
      </c>
      <c r="C31" s="519">
        <v>0</v>
      </c>
      <c r="D31" s="518" t="s">
        <v>699</v>
      </c>
      <c r="E31" s="518" t="s">
        <v>699</v>
      </c>
      <c r="F31" s="519">
        <v>0</v>
      </c>
    </row>
    <row r="32" spans="1:6" ht="15.75">
      <c r="A32" s="2"/>
      <c r="F32" s="5"/>
    </row>
    <row r="34" spans="1:4" ht="21">
      <c r="A34" s="855" t="s">
        <v>584</v>
      </c>
      <c r="B34" s="855"/>
      <c r="C34" s="855"/>
      <c r="D34" s="855"/>
    </row>
    <row r="35" spans="1:4">
      <c r="A35" s="526" t="s">
        <v>46</v>
      </c>
      <c r="B35" s="527" t="s">
        <v>49</v>
      </c>
      <c r="C35" s="527" t="s">
        <v>48</v>
      </c>
      <c r="D35" s="527" t="s">
        <v>47</v>
      </c>
    </row>
    <row r="36" spans="1:4" ht="15.75" hidden="1">
      <c r="A36" s="2" t="s">
        <v>13</v>
      </c>
      <c r="C36" s="3">
        <v>1</v>
      </c>
      <c r="D36" t="s">
        <v>13</v>
      </c>
    </row>
    <row r="37" spans="1:4" s="2" customFormat="1" ht="15.75" hidden="1">
      <c r="A37" s="2" t="s">
        <v>581</v>
      </c>
      <c r="B37" s="2" t="s">
        <v>50</v>
      </c>
      <c r="C37" s="267">
        <v>4</v>
      </c>
      <c r="D37" s="2" t="s">
        <v>25</v>
      </c>
    </row>
    <row r="38" spans="1:4" s="2" customFormat="1" ht="15.75" hidden="1">
      <c r="A38" s="2" t="s">
        <v>582</v>
      </c>
      <c r="B38" s="2" t="s">
        <v>55</v>
      </c>
      <c r="C38" s="267">
        <v>128</v>
      </c>
      <c r="D38" s="2" t="s">
        <v>25</v>
      </c>
    </row>
    <row r="39" spans="1:4" s="2" customFormat="1" ht="15.75" hidden="1">
      <c r="A39" s="2" t="s">
        <v>583</v>
      </c>
      <c r="B39" s="2" t="s">
        <v>55</v>
      </c>
      <c r="C39" s="267">
        <v>128</v>
      </c>
      <c r="D39" s="2" t="s">
        <v>25</v>
      </c>
    </row>
    <row r="40" spans="1:4" s="2" customFormat="1" ht="15.75">
      <c r="A40" s="2" t="s">
        <v>74</v>
      </c>
      <c r="B40" s="2" t="s">
        <v>55</v>
      </c>
      <c r="C40" s="267">
        <v>128</v>
      </c>
      <c r="D40" s="2" t="s">
        <v>25</v>
      </c>
    </row>
    <row r="41" spans="1:4" ht="15.75">
      <c r="A41" s="518" t="s">
        <v>699</v>
      </c>
      <c r="B41" s="518" t="s">
        <v>699</v>
      </c>
      <c r="C41" s="525">
        <v>0</v>
      </c>
      <c r="D41" s="518" t="s">
        <v>699</v>
      </c>
    </row>
    <row r="42" spans="1:4" ht="15.75">
      <c r="A42" s="518" t="s">
        <v>699</v>
      </c>
      <c r="B42" s="518" t="s">
        <v>699</v>
      </c>
      <c r="C42" s="525">
        <v>0</v>
      </c>
      <c r="D42" s="518" t="s">
        <v>699</v>
      </c>
    </row>
    <row r="43" spans="1:4" ht="15.75">
      <c r="A43" s="518" t="s">
        <v>699</v>
      </c>
      <c r="B43" s="518" t="s">
        <v>699</v>
      </c>
      <c r="C43" s="525">
        <v>0</v>
      </c>
      <c r="D43" s="518" t="s">
        <v>699</v>
      </c>
    </row>
    <row r="44" spans="1:4" ht="15.75">
      <c r="A44" s="518" t="s">
        <v>699</v>
      </c>
      <c r="B44" s="518" t="s">
        <v>699</v>
      </c>
      <c r="C44" s="525">
        <v>0</v>
      </c>
      <c r="D44" s="518" t="s">
        <v>699</v>
      </c>
    </row>
    <row r="45" spans="1:4">
      <c r="C45" s="3"/>
    </row>
    <row r="47" spans="1:4" ht="21">
      <c r="A47" s="855" t="s">
        <v>585</v>
      </c>
      <c r="B47" s="855"/>
      <c r="C47" s="855"/>
      <c r="D47" s="855"/>
    </row>
    <row r="48" spans="1:4">
      <c r="A48" s="526" t="s">
        <v>46</v>
      </c>
      <c r="B48" s="527" t="s">
        <v>49</v>
      </c>
      <c r="C48" s="527" t="s">
        <v>48</v>
      </c>
      <c r="D48" s="527" t="s">
        <v>47</v>
      </c>
    </row>
    <row r="49" spans="1:4" ht="15.75" hidden="1">
      <c r="A49" s="2" t="s">
        <v>13</v>
      </c>
      <c r="C49" s="3">
        <v>1</v>
      </c>
      <c r="D49" t="s">
        <v>13</v>
      </c>
    </row>
    <row r="50" spans="1:4" hidden="1">
      <c r="A50" t="s">
        <v>155</v>
      </c>
      <c r="B50" t="s">
        <v>52</v>
      </c>
      <c r="C50" s="3">
        <v>8</v>
      </c>
      <c r="D50" t="s">
        <v>53</v>
      </c>
    </row>
    <row r="51" spans="1:4" hidden="1">
      <c r="A51" t="s">
        <v>156</v>
      </c>
      <c r="B51" t="s">
        <v>55</v>
      </c>
      <c r="C51" s="3">
        <v>1</v>
      </c>
      <c r="D51" t="s">
        <v>53</v>
      </c>
    </row>
    <row r="52" spans="1:4" hidden="1">
      <c r="A52" t="s">
        <v>157</v>
      </c>
      <c r="B52" t="s">
        <v>58</v>
      </c>
      <c r="C52" s="3">
        <v>1</v>
      </c>
      <c r="D52" t="s">
        <v>30</v>
      </c>
    </row>
    <row r="53" spans="1:4" hidden="1">
      <c r="A53" t="s">
        <v>158</v>
      </c>
      <c r="B53" t="s">
        <v>50</v>
      </c>
      <c r="C53" s="3">
        <v>4</v>
      </c>
      <c r="D53" t="s">
        <v>53</v>
      </c>
    </row>
    <row r="54" spans="1:4" hidden="1"/>
    <row r="55" spans="1:4" hidden="1"/>
    <row r="56" spans="1:4" ht="15.75" hidden="1">
      <c r="A56" s="2" t="s">
        <v>13</v>
      </c>
      <c r="C56" s="3">
        <v>1</v>
      </c>
      <c r="D56" t="s">
        <v>13</v>
      </c>
    </row>
    <row r="57" spans="1:4" s="2" customFormat="1" ht="15.75" hidden="1">
      <c r="A57" s="2" t="s">
        <v>586</v>
      </c>
      <c r="B57" s="2" t="s">
        <v>52</v>
      </c>
      <c r="C57" s="267">
        <v>8</v>
      </c>
      <c r="D57" s="2" t="s">
        <v>53</v>
      </c>
    </row>
    <row r="58" spans="1:4" s="2" customFormat="1" ht="15.75" hidden="1">
      <c r="A58" s="2" t="s">
        <v>418</v>
      </c>
      <c r="B58" s="2" t="s">
        <v>55</v>
      </c>
      <c r="C58" s="267">
        <v>1</v>
      </c>
      <c r="D58" s="2" t="s">
        <v>53</v>
      </c>
    </row>
    <row r="59" spans="1:4" s="2" customFormat="1" ht="15.75" hidden="1">
      <c r="A59" s="2" t="s">
        <v>422</v>
      </c>
      <c r="B59" s="2" t="s">
        <v>55</v>
      </c>
      <c r="C59" s="267">
        <v>128</v>
      </c>
      <c r="D59" s="2" t="s">
        <v>53</v>
      </c>
    </row>
    <row r="60" spans="1:4" s="2" customFormat="1" ht="15.75" hidden="1">
      <c r="A60" s="2" t="s">
        <v>435</v>
      </c>
      <c r="B60" s="2" t="s">
        <v>58</v>
      </c>
      <c r="C60" s="267">
        <v>5</v>
      </c>
      <c r="D60" s="2" t="s">
        <v>30</v>
      </c>
    </row>
    <row r="61" spans="1:4" s="2" customFormat="1" ht="15.75" hidden="1">
      <c r="A61" s="2" t="s">
        <v>436</v>
      </c>
      <c r="B61" s="2" t="s">
        <v>52</v>
      </c>
      <c r="C61" s="267">
        <v>8</v>
      </c>
      <c r="D61" s="2" t="s">
        <v>53</v>
      </c>
    </row>
    <row r="62" spans="1:4" s="2" customFormat="1" ht="15.75" hidden="1">
      <c r="A62" s="2" t="s">
        <v>587</v>
      </c>
      <c r="B62" s="2" t="s">
        <v>55</v>
      </c>
      <c r="C62" s="267">
        <v>1</v>
      </c>
      <c r="D62" s="2" t="s">
        <v>53</v>
      </c>
    </row>
    <row r="63" spans="1:4" s="2" customFormat="1" ht="15.75" hidden="1">
      <c r="A63" s="2" t="s">
        <v>414</v>
      </c>
      <c r="B63" s="2" t="s">
        <v>58</v>
      </c>
      <c r="C63" s="267">
        <v>1</v>
      </c>
      <c r="D63" s="2" t="s">
        <v>30</v>
      </c>
    </row>
    <row r="64" spans="1:4" s="2" customFormat="1" ht="15.75" hidden="1">
      <c r="A64" s="2" t="s">
        <v>413</v>
      </c>
      <c r="B64" s="2" t="s">
        <v>55</v>
      </c>
      <c r="C64" s="267">
        <v>1</v>
      </c>
      <c r="D64" s="2" t="s">
        <v>53</v>
      </c>
    </row>
    <row r="65" spans="1:4" s="2" customFormat="1" ht="15.75" hidden="1">
      <c r="A65" s="2" t="s">
        <v>460</v>
      </c>
      <c r="B65" s="2" t="s">
        <v>55</v>
      </c>
      <c r="C65" s="267">
        <v>1</v>
      </c>
      <c r="D65" s="2" t="s">
        <v>53</v>
      </c>
    </row>
    <row r="66" spans="1:4" s="2" customFormat="1" ht="15.75" hidden="1">
      <c r="A66" s="2" t="s">
        <v>427</v>
      </c>
      <c r="B66" s="2" t="s">
        <v>15</v>
      </c>
      <c r="C66" s="267">
        <v>1</v>
      </c>
      <c r="D66" s="2" t="s">
        <v>53</v>
      </c>
    </row>
    <row r="67" spans="1:4" s="2" customFormat="1" ht="15.75" hidden="1">
      <c r="A67" s="2" t="s">
        <v>428</v>
      </c>
      <c r="B67" s="2" t="s">
        <v>50</v>
      </c>
      <c r="C67" s="267">
        <v>4</v>
      </c>
      <c r="D67" s="2" t="s">
        <v>53</v>
      </c>
    </row>
    <row r="68" spans="1:4" s="2" customFormat="1" ht="15.75" hidden="1">
      <c r="A68" s="2" t="s">
        <v>588</v>
      </c>
      <c r="B68" s="2" t="s">
        <v>55</v>
      </c>
      <c r="C68" s="267">
        <v>128</v>
      </c>
      <c r="D68" s="2" t="s">
        <v>53</v>
      </c>
    </row>
    <row r="69" spans="1:4" s="2" customFormat="1" ht="15.75" hidden="1">
      <c r="A69" s="2" t="s">
        <v>432</v>
      </c>
      <c r="B69" s="2" t="s">
        <v>55</v>
      </c>
      <c r="C69" s="267">
        <v>1</v>
      </c>
      <c r="D69" s="2" t="s">
        <v>53</v>
      </c>
    </row>
    <row r="70" spans="1:4" s="2" customFormat="1" ht="15.75" hidden="1">
      <c r="A70" s="2" t="s">
        <v>589</v>
      </c>
      <c r="B70" s="2" t="s">
        <v>55</v>
      </c>
      <c r="C70" s="267">
        <v>128</v>
      </c>
      <c r="D70" s="2" t="s">
        <v>53</v>
      </c>
    </row>
    <row r="71" spans="1:4" s="2" customFormat="1" ht="15.75">
      <c r="A71" s="2" t="s">
        <v>433</v>
      </c>
      <c r="B71" s="2" t="s">
        <v>55</v>
      </c>
      <c r="C71" s="267">
        <v>1</v>
      </c>
      <c r="D71" s="2" t="s">
        <v>53</v>
      </c>
    </row>
    <row r="72" spans="1:4" ht="15.75">
      <c r="A72" s="518" t="s">
        <v>699</v>
      </c>
      <c r="B72" s="518" t="s">
        <v>699</v>
      </c>
      <c r="C72" s="525">
        <v>0</v>
      </c>
      <c r="D72" s="518" t="s">
        <v>699</v>
      </c>
    </row>
    <row r="73" spans="1:4" ht="15.75">
      <c r="A73" s="518" t="s">
        <v>699</v>
      </c>
      <c r="B73" s="518" t="s">
        <v>699</v>
      </c>
      <c r="C73" s="525">
        <v>0</v>
      </c>
      <c r="D73" s="518" t="s">
        <v>699</v>
      </c>
    </row>
    <row r="74" spans="1:4" ht="15.75">
      <c r="A74" s="518" t="s">
        <v>699</v>
      </c>
      <c r="B74" s="518" t="s">
        <v>699</v>
      </c>
      <c r="C74" s="525">
        <v>0</v>
      </c>
      <c r="D74" s="518" t="s">
        <v>699</v>
      </c>
    </row>
    <row r="75" spans="1:4" ht="15.75">
      <c r="A75" s="518" t="s">
        <v>699</v>
      </c>
      <c r="B75" s="518" t="s">
        <v>699</v>
      </c>
      <c r="C75" s="525">
        <v>0</v>
      </c>
      <c r="D75" s="518" t="s">
        <v>699</v>
      </c>
    </row>
    <row r="76" spans="1:4">
      <c r="C76" s="3"/>
    </row>
    <row r="77" spans="1:4">
      <c r="C77" s="3"/>
    </row>
    <row r="78" spans="1:4">
      <c r="C78" s="3"/>
    </row>
    <row r="79" spans="1:4">
      <c r="C79" s="3"/>
    </row>
    <row r="80" spans="1:4">
      <c r="C80" s="3"/>
    </row>
    <row r="81" spans="3:3">
      <c r="C81" s="3"/>
    </row>
    <row r="82" spans="3:3">
      <c r="C82" s="3"/>
    </row>
    <row r="83" spans="3:3">
      <c r="C83" s="3"/>
    </row>
    <row r="84" spans="3:3">
      <c r="C84" s="3"/>
    </row>
    <row r="85" spans="3:3">
      <c r="C85" s="3"/>
    </row>
    <row r="86" spans="3:3">
      <c r="C86" s="3"/>
    </row>
    <row r="87" spans="3:3">
      <c r="C87" s="3"/>
    </row>
    <row r="88" spans="3:3">
      <c r="C88" s="3"/>
    </row>
    <row r="89" spans="3:3">
      <c r="C89" s="3"/>
    </row>
    <row r="90" spans="3:3">
      <c r="C90" s="3"/>
    </row>
    <row r="91" spans="3:3">
      <c r="C91" s="3"/>
    </row>
    <row r="92" spans="3:3">
      <c r="C92" s="3"/>
    </row>
    <row r="93" spans="3:3">
      <c r="C93" s="3"/>
    </row>
    <row r="94" spans="3:3">
      <c r="C94" s="3"/>
    </row>
    <row r="95" spans="3:3">
      <c r="C95" s="3"/>
    </row>
    <row r="96" spans="3:3">
      <c r="C96" s="3"/>
    </row>
    <row r="97" spans="1:3">
      <c r="C97" s="3"/>
    </row>
    <row r="98" spans="1:3">
      <c r="C98" s="3"/>
    </row>
    <row r="101" spans="1:3">
      <c r="A101" s="173" t="s">
        <v>434</v>
      </c>
    </row>
    <row r="103" spans="1:3">
      <c r="A103" s="173" t="s">
        <v>555</v>
      </c>
    </row>
  </sheetData>
  <sheetProtection algorithmName="SHA-512" hashValue="ftv4zeoFWxmUwN/iuMqkXQTsDlkhb5/RAKtklvyS5PWcpTT3/EiMssJpw/l3CYCpa8nHq/KDaXOuCJv1C4HYEg==" saltValue="WDpW1M2UNy6ngmH5VYI6tQ==" spinCount="100000" sheet="1" objects="1" scenarios="1"/>
  <sortState xmlns:xlrd2="http://schemas.microsoft.com/office/spreadsheetml/2017/richdata2" ref="A5:F18">
    <sortCondition ref="A18"/>
  </sortState>
  <mergeCells count="4">
    <mergeCell ref="A2:F2"/>
    <mergeCell ref="A34:D34"/>
    <mergeCell ref="A47:D47"/>
    <mergeCell ref="A19:F19"/>
  </mergeCells>
  <hyperlinks>
    <hyperlink ref="A101" r:id="rId1" xr:uid="{F15C957E-DA3B-4012-802E-614A102C57E9}"/>
    <hyperlink ref="A103" r:id="rId2" xr:uid="{0FDDF449-FBCA-4A88-8DEE-CC335DE982D2}"/>
  </hyperlinks>
  <pageMargins left="0.7" right="0.7" top="0.75" bottom="0.75" header="0.3" footer="0.3"/>
  <pageSetup orientation="portrait" horizontalDpi="0" verticalDpi="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O191"/>
  <sheetViews>
    <sheetView topLeftCell="A2" workbookViewId="0">
      <selection activeCell="I95" sqref="I95"/>
    </sheetView>
  </sheetViews>
  <sheetFormatPr defaultRowHeight="15"/>
  <cols>
    <col min="1" max="1" width="61.42578125" bestFit="1" customWidth="1"/>
    <col min="2" max="2" width="11.140625" bestFit="1" customWidth="1"/>
    <col min="4" max="4" width="11.140625" bestFit="1" customWidth="1"/>
    <col min="5" max="5" width="12.28515625" bestFit="1" customWidth="1"/>
    <col min="6" max="6" width="12.85546875" style="5" customWidth="1"/>
    <col min="7" max="7" width="2" bestFit="1" customWidth="1"/>
    <col min="8" max="8" width="11" bestFit="1" customWidth="1"/>
    <col min="11" max="11" width="8.7109375" bestFit="1" customWidth="1"/>
    <col min="12" max="12" width="9.28515625" bestFit="1" customWidth="1"/>
    <col min="13" max="13" width="10.7109375" bestFit="1" customWidth="1"/>
    <col min="15" max="15" width="12.28515625" bestFit="1" customWidth="1"/>
  </cols>
  <sheetData>
    <row r="1" spans="1:15" hidden="1">
      <c r="A1" s="4">
        <v>1</v>
      </c>
      <c r="B1" s="4">
        <v>2</v>
      </c>
      <c r="C1" s="4">
        <v>3</v>
      </c>
      <c r="D1" s="4">
        <v>4</v>
      </c>
      <c r="E1" s="4">
        <v>5</v>
      </c>
      <c r="F1" s="5" t="s">
        <v>250</v>
      </c>
    </row>
    <row r="2" spans="1:15" ht="18.75">
      <c r="A2" s="754" t="s">
        <v>568</v>
      </c>
      <c r="B2" s="754"/>
      <c r="C2" s="754"/>
      <c r="D2" s="754"/>
      <c r="E2" s="754"/>
      <c r="F2" s="754"/>
      <c r="I2" s="521" t="s">
        <v>707</v>
      </c>
      <c r="J2" s="521" t="s">
        <v>46</v>
      </c>
      <c r="K2" s="521" t="s">
        <v>49</v>
      </c>
      <c r="L2" s="521" t="s">
        <v>48</v>
      </c>
      <c r="M2" s="521" t="s">
        <v>47</v>
      </c>
      <c r="N2" s="521" t="s">
        <v>212</v>
      </c>
      <c r="O2" s="522" t="s">
        <v>213</v>
      </c>
    </row>
    <row r="3" spans="1:15" ht="15.75">
      <c r="A3" s="527" t="s">
        <v>46</v>
      </c>
      <c r="B3" s="527" t="s">
        <v>49</v>
      </c>
      <c r="C3" s="527" t="s">
        <v>48</v>
      </c>
      <c r="D3" s="527" t="s">
        <v>47</v>
      </c>
      <c r="E3" s="527" t="s">
        <v>212</v>
      </c>
      <c r="F3" s="522" t="s">
        <v>213</v>
      </c>
      <c r="I3" s="521"/>
      <c r="J3" s="523" t="s">
        <v>51</v>
      </c>
      <c r="K3" s="521" t="s">
        <v>52</v>
      </c>
      <c r="L3" s="524">
        <v>8</v>
      </c>
      <c r="M3" s="521" t="s">
        <v>53</v>
      </c>
      <c r="N3" s="521" t="s">
        <v>188</v>
      </c>
      <c r="O3" s="522">
        <v>4</v>
      </c>
    </row>
    <row r="4" spans="1:15" hidden="1">
      <c r="A4" t="s">
        <v>13</v>
      </c>
      <c r="C4">
        <v>1</v>
      </c>
      <c r="D4" t="s">
        <v>13</v>
      </c>
      <c r="E4" t="s">
        <v>13</v>
      </c>
      <c r="F4" s="4"/>
    </row>
    <row r="5" spans="1:15" ht="15.75" hidden="1">
      <c r="A5" s="2" t="s">
        <v>170</v>
      </c>
      <c r="B5" t="s">
        <v>50</v>
      </c>
      <c r="C5" s="3">
        <v>4</v>
      </c>
      <c r="D5" t="s">
        <v>53</v>
      </c>
      <c r="E5" t="s">
        <v>183</v>
      </c>
      <c r="F5" s="5" t="s">
        <v>237</v>
      </c>
    </row>
    <row r="6" spans="1:15" ht="15.75" hidden="1">
      <c r="A6" s="2" t="s">
        <v>171</v>
      </c>
      <c r="B6" t="s">
        <v>50</v>
      </c>
      <c r="C6" s="3">
        <v>4</v>
      </c>
      <c r="D6" t="s">
        <v>53</v>
      </c>
      <c r="E6" t="s">
        <v>183</v>
      </c>
      <c r="F6" s="5" t="s">
        <v>238</v>
      </c>
    </row>
    <row r="7" spans="1:15" ht="15.75" hidden="1">
      <c r="A7" s="2" t="s">
        <v>173</v>
      </c>
      <c r="B7" t="s">
        <v>52</v>
      </c>
      <c r="C7" s="3">
        <v>8</v>
      </c>
      <c r="D7" t="s">
        <v>53</v>
      </c>
      <c r="E7" t="s">
        <v>183</v>
      </c>
      <c r="F7" s="5" t="s">
        <v>217</v>
      </c>
    </row>
    <row r="8" spans="1:15" ht="15.75" hidden="1">
      <c r="A8" s="2" t="s">
        <v>172</v>
      </c>
      <c r="B8" t="s">
        <v>55</v>
      </c>
      <c r="C8" s="3">
        <v>128</v>
      </c>
      <c r="D8" t="s">
        <v>56</v>
      </c>
      <c r="E8" t="s">
        <v>183</v>
      </c>
      <c r="F8" s="5" t="s">
        <v>239</v>
      </c>
    </row>
    <row r="9" spans="1:15" ht="15.75" hidden="1">
      <c r="A9" s="2" t="s">
        <v>57</v>
      </c>
      <c r="B9" t="s">
        <v>55</v>
      </c>
      <c r="C9" s="3">
        <v>128</v>
      </c>
      <c r="D9" t="s">
        <v>56</v>
      </c>
      <c r="E9" t="s">
        <v>183</v>
      </c>
      <c r="F9" s="5" t="s">
        <v>218</v>
      </c>
    </row>
    <row r="10" spans="1:15" ht="15.75" hidden="1">
      <c r="A10" s="2" t="s">
        <v>161</v>
      </c>
      <c r="B10" t="s">
        <v>58</v>
      </c>
      <c r="C10" s="3">
        <v>1</v>
      </c>
      <c r="D10" t="s">
        <v>30</v>
      </c>
      <c r="E10" t="s">
        <v>184</v>
      </c>
      <c r="F10" s="5" t="s">
        <v>230</v>
      </c>
    </row>
    <row r="11" spans="1:15" ht="15.75" hidden="1">
      <c r="A11" s="2" t="s">
        <v>160</v>
      </c>
      <c r="B11" t="s">
        <v>50</v>
      </c>
      <c r="C11" s="3">
        <v>4</v>
      </c>
      <c r="D11" t="s">
        <v>53</v>
      </c>
      <c r="E11" t="s">
        <v>184</v>
      </c>
      <c r="F11" s="5" t="s">
        <v>230</v>
      </c>
    </row>
    <row r="12" spans="1:15" ht="15.75" hidden="1">
      <c r="A12" s="2" t="s">
        <v>162</v>
      </c>
      <c r="B12" t="s">
        <v>55</v>
      </c>
      <c r="C12" s="3">
        <v>128</v>
      </c>
      <c r="D12" t="s">
        <v>53</v>
      </c>
      <c r="E12" t="s">
        <v>184</v>
      </c>
      <c r="F12" s="5" t="s">
        <v>231</v>
      </c>
    </row>
    <row r="13" spans="1:15" ht="15.75" hidden="1">
      <c r="A13" s="2" t="s">
        <v>174</v>
      </c>
      <c r="B13" t="s">
        <v>55</v>
      </c>
      <c r="C13" s="3">
        <v>128</v>
      </c>
      <c r="D13" t="s">
        <v>56</v>
      </c>
      <c r="E13" t="s">
        <v>183</v>
      </c>
      <c r="F13" s="5" t="s">
        <v>226</v>
      </c>
    </row>
    <row r="14" spans="1:15" ht="15.75" hidden="1">
      <c r="A14" s="2" t="s">
        <v>241</v>
      </c>
      <c r="B14" t="s">
        <v>50</v>
      </c>
      <c r="C14" s="3">
        <v>4</v>
      </c>
      <c r="D14" t="s">
        <v>53</v>
      </c>
      <c r="E14" t="s">
        <v>183</v>
      </c>
      <c r="F14" s="5" t="s">
        <v>240</v>
      </c>
    </row>
    <row r="15" spans="1:15" ht="15.75" hidden="1">
      <c r="A15" s="2" t="s">
        <v>175</v>
      </c>
      <c r="B15" t="s">
        <v>50</v>
      </c>
      <c r="C15" s="3">
        <v>4</v>
      </c>
      <c r="D15" t="s">
        <v>53</v>
      </c>
      <c r="E15" t="s">
        <v>183</v>
      </c>
      <c r="F15" s="5" t="s">
        <v>240</v>
      </c>
    </row>
    <row r="16" spans="1:15" ht="15.75" hidden="1">
      <c r="A16" s="2" t="s">
        <v>177</v>
      </c>
      <c r="B16" t="s">
        <v>50</v>
      </c>
      <c r="C16" s="3">
        <v>4</v>
      </c>
      <c r="D16" t="s">
        <v>53</v>
      </c>
      <c r="E16" t="s">
        <v>183</v>
      </c>
      <c r="F16" s="5" t="s">
        <v>240</v>
      </c>
    </row>
    <row r="17" spans="1:6" ht="15.75" hidden="1">
      <c r="A17" s="2" t="s">
        <v>176</v>
      </c>
      <c r="B17" t="s">
        <v>50</v>
      </c>
      <c r="C17" s="3">
        <v>4</v>
      </c>
      <c r="D17" t="s">
        <v>53</v>
      </c>
      <c r="E17" t="s">
        <v>183</v>
      </c>
      <c r="F17" s="5" t="s">
        <v>240</v>
      </c>
    </row>
    <row r="18" spans="1:6" ht="15.75" hidden="1">
      <c r="A18" s="2" t="s">
        <v>163</v>
      </c>
      <c r="B18" t="s">
        <v>52</v>
      </c>
      <c r="C18" s="3">
        <v>8</v>
      </c>
      <c r="D18" t="s">
        <v>53</v>
      </c>
      <c r="E18" t="s">
        <v>184</v>
      </c>
      <c r="F18" s="5" t="s">
        <v>232</v>
      </c>
    </row>
    <row r="19" spans="1:6" ht="15.75" hidden="1">
      <c r="A19" s="2" t="s">
        <v>164</v>
      </c>
      <c r="B19" t="s">
        <v>55</v>
      </c>
      <c r="C19" s="3">
        <v>128</v>
      </c>
      <c r="D19" t="s">
        <v>53</v>
      </c>
      <c r="E19" t="s">
        <v>184</v>
      </c>
      <c r="F19" s="5" t="s">
        <v>231</v>
      </c>
    </row>
    <row r="20" spans="1:6" ht="15.75" hidden="1">
      <c r="A20" s="2" t="s">
        <v>62</v>
      </c>
      <c r="B20" t="s">
        <v>55</v>
      </c>
      <c r="C20" s="3">
        <v>1</v>
      </c>
      <c r="D20" t="s">
        <v>56</v>
      </c>
      <c r="E20" t="s">
        <v>183</v>
      </c>
      <c r="F20" s="5" t="s">
        <v>220</v>
      </c>
    </row>
    <row r="21" spans="1:6" ht="15.75" hidden="1">
      <c r="A21" s="2" t="s">
        <v>165</v>
      </c>
      <c r="B21" t="s">
        <v>50</v>
      </c>
      <c r="C21" s="3">
        <v>4</v>
      </c>
      <c r="D21" t="s">
        <v>53</v>
      </c>
      <c r="E21" t="s">
        <v>184</v>
      </c>
      <c r="F21" s="5" t="s">
        <v>232</v>
      </c>
    </row>
    <row r="22" spans="1:6" ht="15.75" hidden="1">
      <c r="A22" s="2" t="s">
        <v>178</v>
      </c>
      <c r="B22" t="s">
        <v>55</v>
      </c>
      <c r="C22" s="3">
        <v>128</v>
      </c>
      <c r="D22" t="s">
        <v>56</v>
      </c>
      <c r="E22" t="s">
        <v>183</v>
      </c>
      <c r="F22" s="5" t="s">
        <v>216</v>
      </c>
    </row>
    <row r="23" spans="1:6" ht="15.75" hidden="1">
      <c r="A23" s="2" t="s">
        <v>179</v>
      </c>
      <c r="B23" t="s">
        <v>55</v>
      </c>
      <c r="C23" s="3">
        <v>128</v>
      </c>
      <c r="D23" t="s">
        <v>56</v>
      </c>
      <c r="E23" t="s">
        <v>183</v>
      </c>
      <c r="F23" s="5" t="s">
        <v>218</v>
      </c>
    </row>
    <row r="24" spans="1:6" ht="15.75" hidden="1">
      <c r="A24" s="2" t="s">
        <v>180</v>
      </c>
      <c r="B24" t="s">
        <v>55</v>
      </c>
      <c r="C24" s="3">
        <v>128</v>
      </c>
      <c r="D24" t="s">
        <v>56</v>
      </c>
      <c r="E24" t="s">
        <v>183</v>
      </c>
      <c r="F24" s="5" t="s">
        <v>222</v>
      </c>
    </row>
    <row r="25" spans="1:6" ht="15.75" hidden="1">
      <c r="A25" s="2" t="s">
        <v>181</v>
      </c>
      <c r="B25" t="s">
        <v>55</v>
      </c>
      <c r="C25" s="3">
        <v>128</v>
      </c>
      <c r="D25" t="s">
        <v>56</v>
      </c>
      <c r="E25" t="s">
        <v>183</v>
      </c>
      <c r="F25" s="5" t="s">
        <v>220</v>
      </c>
    </row>
    <row r="26" spans="1:6" ht="15.75" hidden="1">
      <c r="A26" s="2" t="s">
        <v>64</v>
      </c>
      <c r="B26" t="s">
        <v>50</v>
      </c>
      <c r="C26" s="3">
        <v>4</v>
      </c>
      <c r="D26" t="s">
        <v>53</v>
      </c>
      <c r="E26" t="s">
        <v>183</v>
      </c>
      <c r="F26" s="5" t="s">
        <v>242</v>
      </c>
    </row>
    <row r="27" spans="1:6" ht="15.75" hidden="1">
      <c r="A27" s="2" t="s">
        <v>66</v>
      </c>
      <c r="B27" t="s">
        <v>50</v>
      </c>
      <c r="C27" s="3">
        <v>4</v>
      </c>
      <c r="D27" t="s">
        <v>53</v>
      </c>
      <c r="E27" t="s">
        <v>183</v>
      </c>
      <c r="F27" s="5" t="s">
        <v>242</v>
      </c>
    </row>
    <row r="28" spans="1:6" ht="15.75" hidden="1">
      <c r="A28" s="2" t="s">
        <v>67</v>
      </c>
      <c r="B28" t="s">
        <v>55</v>
      </c>
      <c r="C28" s="3">
        <v>128</v>
      </c>
      <c r="D28" t="s">
        <v>53</v>
      </c>
      <c r="E28" t="s">
        <v>184</v>
      </c>
      <c r="F28" s="5" t="s">
        <v>232</v>
      </c>
    </row>
    <row r="29" spans="1:6" ht="15.75" hidden="1">
      <c r="A29" s="2" t="s">
        <v>182</v>
      </c>
      <c r="B29" t="s">
        <v>55</v>
      </c>
      <c r="C29" s="3">
        <v>128</v>
      </c>
      <c r="D29" t="s">
        <v>56</v>
      </c>
      <c r="E29" t="s">
        <v>183</v>
      </c>
      <c r="F29" s="5" t="s">
        <v>220</v>
      </c>
    </row>
    <row r="30" spans="1:6" ht="15.75" hidden="1">
      <c r="A30" s="2" t="s">
        <v>166</v>
      </c>
      <c r="B30" t="s">
        <v>50</v>
      </c>
      <c r="C30" s="3">
        <v>4</v>
      </c>
      <c r="D30" t="s">
        <v>53</v>
      </c>
      <c r="E30" t="s">
        <v>184</v>
      </c>
      <c r="F30" s="5" t="s">
        <v>230</v>
      </c>
    </row>
    <row r="31" spans="1:6" ht="15.75" hidden="1">
      <c r="A31" s="2" t="s">
        <v>68</v>
      </c>
      <c r="B31" t="s">
        <v>52</v>
      </c>
      <c r="C31" s="3">
        <v>8</v>
      </c>
      <c r="D31" t="s">
        <v>53</v>
      </c>
      <c r="E31" t="s">
        <v>184</v>
      </c>
      <c r="F31" s="5" t="s">
        <v>233</v>
      </c>
    </row>
    <row r="32" spans="1:6" ht="15.75" hidden="1">
      <c r="A32" s="2" t="s">
        <v>167</v>
      </c>
      <c r="B32" t="s">
        <v>55</v>
      </c>
      <c r="C32" s="3">
        <v>128</v>
      </c>
      <c r="D32" t="s">
        <v>53</v>
      </c>
      <c r="E32" t="s">
        <v>184</v>
      </c>
      <c r="F32" s="5" t="s">
        <v>234</v>
      </c>
    </row>
    <row r="33" spans="1:6" ht="15.75" hidden="1">
      <c r="A33" s="2" t="s">
        <v>185</v>
      </c>
      <c r="B33" t="s">
        <v>50</v>
      </c>
      <c r="C33" s="3">
        <v>4</v>
      </c>
      <c r="D33" t="s">
        <v>53</v>
      </c>
      <c r="E33" t="s">
        <v>183</v>
      </c>
      <c r="F33" s="5" t="s">
        <v>243</v>
      </c>
    </row>
    <row r="34" spans="1:6" ht="15.75" hidden="1">
      <c r="A34" s="2" t="s">
        <v>168</v>
      </c>
      <c r="B34" t="s">
        <v>55</v>
      </c>
      <c r="C34" s="3">
        <v>1</v>
      </c>
      <c r="D34" t="s">
        <v>56</v>
      </c>
      <c r="E34" t="s">
        <v>184</v>
      </c>
      <c r="F34" s="5" t="s">
        <v>234</v>
      </c>
    </row>
    <row r="35" spans="1:6" ht="15.75" hidden="1">
      <c r="A35" s="2" t="s">
        <v>69</v>
      </c>
      <c r="B35" t="s">
        <v>55</v>
      </c>
      <c r="C35" s="3">
        <v>128</v>
      </c>
      <c r="D35" t="s">
        <v>53</v>
      </c>
      <c r="E35" t="s">
        <v>184</v>
      </c>
      <c r="F35" s="5" t="s">
        <v>235</v>
      </c>
    </row>
    <row r="36" spans="1:6" ht="15.75" hidden="1">
      <c r="A36" s="2" t="s">
        <v>186</v>
      </c>
      <c r="B36" t="s">
        <v>50</v>
      </c>
      <c r="C36" s="3">
        <v>4</v>
      </c>
      <c r="D36" t="s">
        <v>53</v>
      </c>
      <c r="E36" t="s">
        <v>183</v>
      </c>
      <c r="F36" s="5" t="s">
        <v>244</v>
      </c>
    </row>
    <row r="37" spans="1:6" ht="15.75" hidden="1">
      <c r="A37" s="2" t="s">
        <v>169</v>
      </c>
      <c r="B37" t="s">
        <v>55</v>
      </c>
      <c r="C37" s="3">
        <v>128</v>
      </c>
      <c r="D37" t="s">
        <v>53</v>
      </c>
      <c r="E37" t="s">
        <v>184</v>
      </c>
      <c r="F37" s="5" t="s">
        <v>235</v>
      </c>
    </row>
    <row r="38" spans="1:6" ht="15.75" hidden="1">
      <c r="A38" s="2" t="s">
        <v>70</v>
      </c>
      <c r="B38" t="s">
        <v>55</v>
      </c>
      <c r="C38" s="3">
        <v>128</v>
      </c>
      <c r="D38" t="s">
        <v>53</v>
      </c>
      <c r="E38" t="s">
        <v>183</v>
      </c>
      <c r="F38" s="5" t="s">
        <v>216</v>
      </c>
    </row>
    <row r="39" spans="1:6" ht="15.75" hidden="1">
      <c r="A39" s="2" t="s">
        <v>71</v>
      </c>
      <c r="B39" t="s">
        <v>52</v>
      </c>
      <c r="C39" s="3">
        <v>8</v>
      </c>
      <c r="D39" t="s">
        <v>53</v>
      </c>
      <c r="E39" t="s">
        <v>184</v>
      </c>
      <c r="F39" s="5" t="s">
        <v>236</v>
      </c>
    </row>
    <row r="40" spans="1:6" ht="15.75" hidden="1">
      <c r="A40" s="2" t="s">
        <v>187</v>
      </c>
      <c r="B40" t="s">
        <v>50</v>
      </c>
      <c r="C40" s="3">
        <v>4</v>
      </c>
      <c r="D40" t="s">
        <v>53</v>
      </c>
      <c r="E40" t="s">
        <v>183</v>
      </c>
      <c r="F40" s="5" t="s">
        <v>245</v>
      </c>
    </row>
    <row r="41" spans="1:6" ht="15.75">
      <c r="A41" s="2" t="s">
        <v>72</v>
      </c>
      <c r="B41" t="s">
        <v>55</v>
      </c>
      <c r="C41" s="3">
        <v>1</v>
      </c>
      <c r="D41" t="s">
        <v>53</v>
      </c>
      <c r="E41" t="s">
        <v>184</v>
      </c>
      <c r="F41" s="5" t="s">
        <v>232</v>
      </c>
    </row>
    <row r="42" spans="1:6" ht="15.75">
      <c r="A42" s="518" t="s">
        <v>699</v>
      </c>
      <c r="B42" s="518" t="s">
        <v>699</v>
      </c>
      <c r="C42" s="519">
        <v>0</v>
      </c>
      <c r="D42" s="518" t="s">
        <v>699</v>
      </c>
      <c r="E42" s="518" t="s">
        <v>699</v>
      </c>
      <c r="F42" s="519">
        <v>0</v>
      </c>
    </row>
    <row r="43" spans="1:6" ht="15.75">
      <c r="A43" s="518" t="s">
        <v>699</v>
      </c>
      <c r="B43" s="518" t="s">
        <v>699</v>
      </c>
      <c r="C43" s="519">
        <v>0</v>
      </c>
      <c r="D43" s="518" t="s">
        <v>699</v>
      </c>
      <c r="E43" s="518" t="s">
        <v>699</v>
      </c>
      <c r="F43" s="519">
        <v>0</v>
      </c>
    </row>
    <row r="44" spans="1:6" ht="15.75">
      <c r="A44" s="518" t="s">
        <v>699</v>
      </c>
      <c r="B44" s="518" t="s">
        <v>699</v>
      </c>
      <c r="C44" s="519">
        <v>0</v>
      </c>
      <c r="D44" s="518" t="s">
        <v>699</v>
      </c>
      <c r="E44" s="518" t="s">
        <v>699</v>
      </c>
      <c r="F44" s="519">
        <v>0</v>
      </c>
    </row>
    <row r="45" spans="1:6" ht="15.75">
      <c r="A45" s="518" t="s">
        <v>699</v>
      </c>
      <c r="B45" s="518" t="s">
        <v>699</v>
      </c>
      <c r="C45" s="519">
        <v>0</v>
      </c>
      <c r="D45" s="518" t="s">
        <v>699</v>
      </c>
      <c r="E45" s="518" t="s">
        <v>699</v>
      </c>
      <c r="F45" s="519">
        <v>0</v>
      </c>
    </row>
    <row r="46" spans="1:6" ht="15.75">
      <c r="A46" s="2"/>
      <c r="C46" s="3"/>
    </row>
    <row r="47" spans="1:6" ht="15.75">
      <c r="A47" s="2"/>
      <c r="C47" s="3"/>
    </row>
    <row r="48" spans="1:6" ht="18.75">
      <c r="A48" s="754" t="s">
        <v>708</v>
      </c>
      <c r="B48" s="754"/>
      <c r="C48" s="754"/>
      <c r="D48" s="754"/>
      <c r="E48" s="754"/>
      <c r="F48" s="754"/>
    </row>
    <row r="49" spans="1:6">
      <c r="A49" s="527" t="s">
        <v>46</v>
      </c>
      <c r="B49" s="527" t="s">
        <v>49</v>
      </c>
      <c r="C49" s="527" t="s">
        <v>48</v>
      </c>
      <c r="D49" s="527" t="s">
        <v>47</v>
      </c>
      <c r="E49" s="527" t="s">
        <v>212</v>
      </c>
      <c r="F49" s="522" t="s">
        <v>213</v>
      </c>
    </row>
    <row r="50" spans="1:6" hidden="1">
      <c r="A50" t="s">
        <v>13</v>
      </c>
      <c r="C50">
        <v>1</v>
      </c>
      <c r="D50" t="s">
        <v>13</v>
      </c>
      <c r="E50" t="s">
        <v>188</v>
      </c>
    </row>
    <row r="51" spans="1:6" ht="15.75" hidden="1">
      <c r="A51" s="2" t="s">
        <v>51</v>
      </c>
      <c r="B51" t="s">
        <v>52</v>
      </c>
      <c r="C51" s="3">
        <v>8</v>
      </c>
      <c r="D51" t="s">
        <v>53</v>
      </c>
      <c r="E51" t="s">
        <v>188</v>
      </c>
      <c r="F51" s="5">
        <v>4</v>
      </c>
    </row>
    <row r="52" spans="1:6" ht="15.75" hidden="1">
      <c r="A52" s="2" t="s">
        <v>189</v>
      </c>
      <c r="B52" t="s">
        <v>55</v>
      </c>
      <c r="C52" s="3">
        <v>1</v>
      </c>
      <c r="D52" t="s">
        <v>56</v>
      </c>
      <c r="E52" t="s">
        <v>188</v>
      </c>
      <c r="F52" s="5">
        <v>2</v>
      </c>
    </row>
    <row r="53" spans="1:6" ht="15.75" hidden="1">
      <c r="A53" s="2" t="s">
        <v>190</v>
      </c>
      <c r="B53" t="s">
        <v>55</v>
      </c>
      <c r="C53" s="3">
        <v>1</v>
      </c>
      <c r="D53" t="s">
        <v>56</v>
      </c>
      <c r="E53" t="s">
        <v>188</v>
      </c>
      <c r="F53" s="5">
        <v>14</v>
      </c>
    </row>
    <row r="54" spans="1:6" ht="15.75" hidden="1">
      <c r="A54" s="2" t="s">
        <v>173</v>
      </c>
      <c r="B54" t="s">
        <v>52</v>
      </c>
      <c r="C54" s="3">
        <v>8</v>
      </c>
      <c r="D54" t="s">
        <v>53</v>
      </c>
      <c r="E54" t="s">
        <v>214</v>
      </c>
      <c r="F54" s="5" t="s">
        <v>217</v>
      </c>
    </row>
    <row r="55" spans="1:6" ht="15.75" hidden="1">
      <c r="A55" s="2" t="s">
        <v>172</v>
      </c>
      <c r="B55" t="s">
        <v>55</v>
      </c>
      <c r="C55" s="3">
        <v>128</v>
      </c>
      <c r="D55" t="s">
        <v>53</v>
      </c>
      <c r="E55" t="s">
        <v>214</v>
      </c>
      <c r="F55" s="5" t="s">
        <v>239</v>
      </c>
    </row>
    <row r="56" spans="1:6" ht="15.75" hidden="1">
      <c r="A56" s="2" t="s">
        <v>57</v>
      </c>
      <c r="B56" t="s">
        <v>55</v>
      </c>
      <c r="C56" s="3">
        <v>128</v>
      </c>
      <c r="D56" t="s">
        <v>56</v>
      </c>
      <c r="E56" t="s">
        <v>214</v>
      </c>
      <c r="F56" s="5" t="s">
        <v>218</v>
      </c>
    </row>
    <row r="57" spans="1:6" ht="15.75" hidden="1">
      <c r="A57" s="2" t="s">
        <v>54</v>
      </c>
      <c r="B57" t="s">
        <v>55</v>
      </c>
      <c r="C57" s="3">
        <v>128</v>
      </c>
      <c r="D57" t="s">
        <v>56</v>
      </c>
      <c r="E57" t="s">
        <v>188</v>
      </c>
      <c r="F57" s="5">
        <v>27</v>
      </c>
    </row>
    <row r="58" spans="1:6" ht="15.75" hidden="1">
      <c r="A58" s="2" t="s">
        <v>161</v>
      </c>
      <c r="B58" t="s">
        <v>58</v>
      </c>
      <c r="C58" s="3">
        <v>1</v>
      </c>
      <c r="D58" t="s">
        <v>30</v>
      </c>
      <c r="E58" t="s">
        <v>188</v>
      </c>
      <c r="F58" s="5">
        <v>5</v>
      </c>
    </row>
    <row r="59" spans="1:6" ht="15.75" hidden="1">
      <c r="A59" s="2" t="s">
        <v>160</v>
      </c>
      <c r="B59" t="s">
        <v>50</v>
      </c>
      <c r="C59" s="3">
        <v>4</v>
      </c>
      <c r="D59" t="s">
        <v>53</v>
      </c>
      <c r="E59" t="s">
        <v>188</v>
      </c>
      <c r="F59" s="5">
        <v>5</v>
      </c>
    </row>
    <row r="60" spans="1:6" ht="15.75" hidden="1">
      <c r="A60" s="2" t="s">
        <v>191</v>
      </c>
      <c r="B60" t="s">
        <v>52</v>
      </c>
      <c r="C60" s="3">
        <v>8</v>
      </c>
      <c r="D60" t="s">
        <v>53</v>
      </c>
      <c r="E60" t="s">
        <v>188</v>
      </c>
      <c r="F60" s="5">
        <v>4</v>
      </c>
    </row>
    <row r="61" spans="1:6" ht="15.75" hidden="1">
      <c r="A61" s="2" t="s">
        <v>192</v>
      </c>
      <c r="B61" t="s">
        <v>52</v>
      </c>
      <c r="C61" s="3">
        <v>8</v>
      </c>
      <c r="D61" t="s">
        <v>53</v>
      </c>
      <c r="E61" t="s">
        <v>188</v>
      </c>
      <c r="F61" s="5">
        <v>6</v>
      </c>
    </row>
    <row r="62" spans="1:6" ht="15.75" hidden="1">
      <c r="A62" s="2" t="s">
        <v>193</v>
      </c>
      <c r="B62" t="s">
        <v>55</v>
      </c>
      <c r="C62" s="3">
        <v>1</v>
      </c>
      <c r="D62" t="s">
        <v>56</v>
      </c>
      <c r="E62" t="s">
        <v>188</v>
      </c>
      <c r="F62" s="5">
        <v>2</v>
      </c>
    </row>
    <row r="63" spans="1:6" ht="15.75" hidden="1">
      <c r="A63" s="2" t="s">
        <v>194</v>
      </c>
      <c r="B63" t="s">
        <v>52</v>
      </c>
      <c r="C63" s="3">
        <v>8</v>
      </c>
      <c r="D63" t="s">
        <v>53</v>
      </c>
      <c r="E63" t="s">
        <v>188</v>
      </c>
      <c r="F63" s="5">
        <v>6</v>
      </c>
    </row>
    <row r="64" spans="1:6" ht="15.75" hidden="1">
      <c r="A64" s="2" t="s">
        <v>59</v>
      </c>
      <c r="B64" t="s">
        <v>55</v>
      </c>
      <c r="C64" s="3">
        <v>128</v>
      </c>
      <c r="D64" t="s">
        <v>60</v>
      </c>
      <c r="E64" t="s">
        <v>188</v>
      </c>
      <c r="F64" s="5">
        <v>14</v>
      </c>
    </row>
    <row r="65" spans="1:6" ht="15.75" hidden="1">
      <c r="A65" s="2" t="s">
        <v>164</v>
      </c>
      <c r="B65" t="s">
        <v>55</v>
      </c>
      <c r="C65" s="3">
        <v>128</v>
      </c>
      <c r="D65" t="s">
        <v>53</v>
      </c>
      <c r="E65" t="s">
        <v>188</v>
      </c>
      <c r="F65" s="5">
        <v>27</v>
      </c>
    </row>
    <row r="66" spans="1:6" ht="15.75" hidden="1">
      <c r="A66" s="2" t="s">
        <v>209</v>
      </c>
      <c r="B66" t="s">
        <v>52</v>
      </c>
      <c r="C66" s="3">
        <v>8</v>
      </c>
      <c r="D66" t="s">
        <v>53</v>
      </c>
      <c r="E66" t="s">
        <v>214</v>
      </c>
      <c r="F66" s="5" t="s">
        <v>223</v>
      </c>
    </row>
    <row r="67" spans="1:6" ht="15.75" hidden="1">
      <c r="A67" s="2" t="s">
        <v>200</v>
      </c>
      <c r="B67" t="s">
        <v>55</v>
      </c>
      <c r="C67" s="3">
        <v>128</v>
      </c>
      <c r="D67" t="s">
        <v>53</v>
      </c>
      <c r="E67" t="s">
        <v>214</v>
      </c>
      <c r="F67" s="5" t="s">
        <v>219</v>
      </c>
    </row>
    <row r="68" spans="1:6" ht="15.75" hidden="1">
      <c r="A68" s="2" t="s">
        <v>61</v>
      </c>
      <c r="B68" t="s">
        <v>55</v>
      </c>
      <c r="C68" s="3">
        <v>1</v>
      </c>
      <c r="D68" t="s">
        <v>56</v>
      </c>
      <c r="E68" t="s">
        <v>214</v>
      </c>
      <c r="F68" s="5" t="s">
        <v>220</v>
      </c>
    </row>
    <row r="69" spans="1:6" ht="15.75" hidden="1">
      <c r="A69" s="2" t="s">
        <v>195</v>
      </c>
      <c r="B69" t="s">
        <v>55</v>
      </c>
      <c r="C69" s="3">
        <v>128</v>
      </c>
      <c r="D69" t="s">
        <v>53</v>
      </c>
      <c r="E69" t="s">
        <v>188</v>
      </c>
      <c r="F69" s="5">
        <v>4</v>
      </c>
    </row>
    <row r="70" spans="1:6" ht="15.75" hidden="1">
      <c r="A70" s="2" t="s">
        <v>201</v>
      </c>
      <c r="B70" t="s">
        <v>55</v>
      </c>
      <c r="C70" s="3">
        <v>128</v>
      </c>
      <c r="D70" t="s">
        <v>53</v>
      </c>
      <c r="E70" t="s">
        <v>214</v>
      </c>
      <c r="F70" s="5" t="s">
        <v>221</v>
      </c>
    </row>
    <row r="71" spans="1:6" ht="15.75" hidden="1">
      <c r="A71" s="2" t="s">
        <v>247</v>
      </c>
      <c r="B71" t="s">
        <v>52</v>
      </c>
      <c r="C71" s="3">
        <v>8</v>
      </c>
      <c r="D71" t="s">
        <v>53</v>
      </c>
      <c r="E71" t="s">
        <v>214</v>
      </c>
      <c r="F71" s="5" t="s">
        <v>249</v>
      </c>
    </row>
    <row r="72" spans="1:6" ht="15.75" hidden="1">
      <c r="A72" s="2" t="s">
        <v>246</v>
      </c>
      <c r="B72" t="s">
        <v>52</v>
      </c>
      <c r="C72" s="3">
        <v>8</v>
      </c>
      <c r="D72" t="s">
        <v>53</v>
      </c>
      <c r="E72" t="s">
        <v>188</v>
      </c>
      <c r="F72" s="5" t="s">
        <v>248</v>
      </c>
    </row>
    <row r="73" spans="1:6" ht="15.75" hidden="1">
      <c r="A73" s="2" t="s">
        <v>210</v>
      </c>
      <c r="B73" t="s">
        <v>50</v>
      </c>
      <c r="C73" s="3">
        <v>4</v>
      </c>
      <c r="D73" t="s">
        <v>53</v>
      </c>
      <c r="E73" t="s">
        <v>214</v>
      </c>
      <c r="F73" s="5" t="s">
        <v>224</v>
      </c>
    </row>
    <row r="74" spans="1:6" ht="15.75" hidden="1">
      <c r="A74" s="2" t="s">
        <v>215</v>
      </c>
      <c r="B74" t="s">
        <v>55</v>
      </c>
      <c r="C74" s="3">
        <v>128</v>
      </c>
      <c r="D74" t="s">
        <v>53</v>
      </c>
      <c r="E74" t="s">
        <v>188</v>
      </c>
      <c r="F74" s="5">
        <v>9</v>
      </c>
    </row>
    <row r="75" spans="1:6" ht="15.75" hidden="1">
      <c r="A75" s="2" t="s">
        <v>63</v>
      </c>
      <c r="B75" t="s">
        <v>52</v>
      </c>
      <c r="C75" s="3">
        <v>8</v>
      </c>
      <c r="D75" t="s">
        <v>53</v>
      </c>
      <c r="E75" t="s">
        <v>214</v>
      </c>
      <c r="F75" s="5" t="s">
        <v>225</v>
      </c>
    </row>
    <row r="76" spans="1:6" ht="15.75" hidden="1">
      <c r="A76" s="2" t="s">
        <v>180</v>
      </c>
      <c r="B76" t="s">
        <v>55</v>
      </c>
      <c r="C76" s="3">
        <v>128</v>
      </c>
      <c r="D76" t="s">
        <v>53</v>
      </c>
      <c r="E76" t="s">
        <v>214</v>
      </c>
      <c r="F76" s="5" t="s">
        <v>222</v>
      </c>
    </row>
    <row r="77" spans="1:6" ht="15.75" hidden="1">
      <c r="A77" s="2" t="s">
        <v>554</v>
      </c>
      <c r="B77" t="s">
        <v>55</v>
      </c>
      <c r="C77" s="3">
        <v>128</v>
      </c>
      <c r="D77" t="s">
        <v>53</v>
      </c>
      <c r="E77" t="s">
        <v>214</v>
      </c>
      <c r="F77" s="5" t="s">
        <v>219</v>
      </c>
    </row>
    <row r="78" spans="1:6" ht="15.75" hidden="1">
      <c r="A78" s="2" t="s">
        <v>196</v>
      </c>
      <c r="B78" t="s">
        <v>55</v>
      </c>
      <c r="C78" s="3">
        <v>1</v>
      </c>
      <c r="D78" t="s">
        <v>56</v>
      </c>
      <c r="E78" t="s">
        <v>188</v>
      </c>
      <c r="F78" s="5">
        <v>27</v>
      </c>
    </row>
    <row r="79" spans="1:6" ht="15.75" hidden="1">
      <c r="A79" s="2" t="s">
        <v>65</v>
      </c>
      <c r="B79" t="s">
        <v>55</v>
      </c>
      <c r="C79" s="3">
        <v>128</v>
      </c>
      <c r="D79" t="s">
        <v>53</v>
      </c>
      <c r="E79" t="s">
        <v>188</v>
      </c>
      <c r="F79" s="5">
        <v>10</v>
      </c>
    </row>
    <row r="80" spans="1:6" ht="15.75" hidden="1">
      <c r="A80" s="2" t="s">
        <v>197</v>
      </c>
      <c r="B80" t="s">
        <v>55</v>
      </c>
      <c r="C80" s="3">
        <v>16</v>
      </c>
      <c r="D80" t="s">
        <v>30</v>
      </c>
      <c r="E80" t="s">
        <v>188</v>
      </c>
      <c r="F80" s="5">
        <v>2</v>
      </c>
    </row>
    <row r="81" spans="1:6" ht="15.75" hidden="1">
      <c r="A81" s="2" t="s">
        <v>202</v>
      </c>
      <c r="B81" t="s">
        <v>55</v>
      </c>
      <c r="C81" s="3">
        <v>128</v>
      </c>
      <c r="D81" t="s">
        <v>53</v>
      </c>
      <c r="E81" t="s">
        <v>214</v>
      </c>
      <c r="F81" s="5" t="s">
        <v>220</v>
      </c>
    </row>
    <row r="82" spans="1:6" ht="15.75" hidden="1">
      <c r="A82" s="2" t="s">
        <v>203</v>
      </c>
      <c r="B82" t="s">
        <v>55</v>
      </c>
      <c r="C82" s="3">
        <v>128</v>
      </c>
      <c r="D82" t="s">
        <v>53</v>
      </c>
      <c r="E82" t="s">
        <v>214</v>
      </c>
      <c r="F82" s="5" t="s">
        <v>226</v>
      </c>
    </row>
    <row r="83" spans="1:6" ht="15.75" hidden="1">
      <c r="A83" s="2" t="s">
        <v>198</v>
      </c>
      <c r="B83" t="s">
        <v>55</v>
      </c>
      <c r="C83" s="3">
        <v>128</v>
      </c>
      <c r="D83" t="s">
        <v>53</v>
      </c>
      <c r="E83" t="s">
        <v>188</v>
      </c>
      <c r="F83" s="5">
        <v>14</v>
      </c>
    </row>
    <row r="84" spans="1:6" ht="15.75" hidden="1">
      <c r="A84" s="2" t="s">
        <v>204</v>
      </c>
      <c r="B84" t="s">
        <v>55</v>
      </c>
      <c r="C84" s="3">
        <v>128</v>
      </c>
      <c r="D84" t="s">
        <v>53</v>
      </c>
      <c r="E84" t="s">
        <v>214</v>
      </c>
      <c r="F84" s="5" t="s">
        <v>220</v>
      </c>
    </row>
    <row r="85" spans="1:6" ht="15.75" hidden="1">
      <c r="A85" s="2" t="s">
        <v>211</v>
      </c>
      <c r="B85" t="s">
        <v>52</v>
      </c>
      <c r="C85" s="3">
        <v>8</v>
      </c>
      <c r="D85" t="s">
        <v>53</v>
      </c>
      <c r="E85" t="s">
        <v>214</v>
      </c>
      <c r="F85" s="5" t="s">
        <v>227</v>
      </c>
    </row>
    <row r="86" spans="1:6" ht="15.75" hidden="1">
      <c r="A86" s="2" t="s">
        <v>205</v>
      </c>
      <c r="B86" t="s">
        <v>55</v>
      </c>
      <c r="C86" s="3">
        <v>128</v>
      </c>
      <c r="D86" t="s">
        <v>53</v>
      </c>
      <c r="E86" t="s">
        <v>214</v>
      </c>
      <c r="F86" s="5" t="s">
        <v>228</v>
      </c>
    </row>
    <row r="87" spans="1:6" ht="15.75">
      <c r="A87" s="2" t="s">
        <v>206</v>
      </c>
      <c r="B87" t="s">
        <v>55</v>
      </c>
      <c r="C87" s="3">
        <v>1</v>
      </c>
      <c r="D87" t="s">
        <v>56</v>
      </c>
      <c r="E87" t="s">
        <v>214</v>
      </c>
      <c r="F87" s="5" t="s">
        <v>229</v>
      </c>
    </row>
    <row r="88" spans="1:6" ht="15.75" hidden="1">
      <c r="A88" s="2" t="s">
        <v>207</v>
      </c>
      <c r="B88" t="s">
        <v>55</v>
      </c>
      <c r="C88" s="3">
        <v>128</v>
      </c>
      <c r="D88" t="s">
        <v>53</v>
      </c>
      <c r="E88" t="s">
        <v>214</v>
      </c>
      <c r="F88" s="5" t="s">
        <v>226</v>
      </c>
    </row>
    <row r="89" spans="1:6" ht="15.75" hidden="1">
      <c r="A89" s="2" t="s">
        <v>199</v>
      </c>
      <c r="B89" t="s">
        <v>55</v>
      </c>
      <c r="C89" s="3">
        <v>128</v>
      </c>
      <c r="D89" t="s">
        <v>53</v>
      </c>
      <c r="E89" t="s">
        <v>188</v>
      </c>
      <c r="F89" s="5">
        <v>4</v>
      </c>
    </row>
    <row r="90" spans="1:6" ht="15.75" hidden="1">
      <c r="A90" s="2" t="s">
        <v>208</v>
      </c>
      <c r="B90" t="s">
        <v>55</v>
      </c>
      <c r="C90" s="3">
        <v>128</v>
      </c>
      <c r="D90" t="s">
        <v>53</v>
      </c>
      <c r="E90" t="s">
        <v>214</v>
      </c>
      <c r="F90" s="5" t="s">
        <v>222</v>
      </c>
    </row>
    <row r="91" spans="1:6" ht="15.75">
      <c r="A91" s="518" t="s">
        <v>699</v>
      </c>
      <c r="B91" s="518" t="s">
        <v>699</v>
      </c>
      <c r="C91" s="519">
        <v>0</v>
      </c>
      <c r="D91" s="518" t="s">
        <v>699</v>
      </c>
      <c r="E91" s="518" t="s">
        <v>699</v>
      </c>
      <c r="F91" s="519">
        <v>0</v>
      </c>
    </row>
    <row r="92" spans="1:6" ht="15.75">
      <c r="A92" s="518" t="s">
        <v>699</v>
      </c>
      <c r="B92" s="518" t="s">
        <v>699</v>
      </c>
      <c r="C92" s="519">
        <v>0</v>
      </c>
      <c r="D92" s="518" t="s">
        <v>699</v>
      </c>
      <c r="E92" s="518" t="s">
        <v>699</v>
      </c>
      <c r="F92" s="519">
        <v>0</v>
      </c>
    </row>
    <row r="93" spans="1:6" ht="15.75">
      <c r="A93" s="518" t="s">
        <v>699</v>
      </c>
      <c r="B93" s="518" t="s">
        <v>699</v>
      </c>
      <c r="C93" s="519">
        <v>0</v>
      </c>
      <c r="D93" s="518" t="s">
        <v>699</v>
      </c>
      <c r="E93" s="518" t="s">
        <v>699</v>
      </c>
      <c r="F93" s="519">
        <v>0</v>
      </c>
    </row>
    <row r="94" spans="1:6" ht="15.75">
      <c r="A94" s="518" t="s">
        <v>699</v>
      </c>
      <c r="B94" s="518" t="s">
        <v>699</v>
      </c>
      <c r="C94" s="519">
        <v>0</v>
      </c>
      <c r="D94" s="518" t="s">
        <v>699</v>
      </c>
      <c r="E94" s="518" t="s">
        <v>699</v>
      </c>
      <c r="F94" s="519">
        <v>0</v>
      </c>
    </row>
    <row r="95" spans="1:6" ht="15.75">
      <c r="A95" s="528"/>
      <c r="B95" s="528"/>
      <c r="C95" s="529"/>
      <c r="D95" s="528"/>
      <c r="E95" s="528"/>
      <c r="F95" s="529"/>
    </row>
    <row r="96" spans="1:6" ht="15.75">
      <c r="A96" s="2"/>
      <c r="C96" s="3"/>
    </row>
    <row r="97" spans="1:6" ht="21">
      <c r="A97" s="855" t="s">
        <v>144</v>
      </c>
      <c r="B97" s="855"/>
      <c r="C97" s="855"/>
      <c r="D97" s="855"/>
    </row>
    <row r="98" spans="1:6">
      <c r="A98" s="526" t="s">
        <v>46</v>
      </c>
      <c r="B98" s="527" t="s">
        <v>49</v>
      </c>
      <c r="C98" s="527" t="s">
        <v>48</v>
      </c>
      <c r="D98" s="527" t="s">
        <v>47</v>
      </c>
    </row>
    <row r="99" spans="1:6" s="2" customFormat="1" ht="15.75" hidden="1">
      <c r="A99" s="2" t="s">
        <v>13</v>
      </c>
      <c r="C99" s="2">
        <v>1</v>
      </c>
      <c r="D99" s="2" t="s">
        <v>13</v>
      </c>
      <c r="F99" s="266"/>
    </row>
    <row r="100" spans="1:6" ht="15.75" hidden="1">
      <c r="A100" s="2" t="s">
        <v>73</v>
      </c>
      <c r="B100" t="s">
        <v>58</v>
      </c>
      <c r="C100" s="3">
        <v>1</v>
      </c>
      <c r="D100" t="s">
        <v>30</v>
      </c>
    </row>
    <row r="101" spans="1:6" ht="15.75" hidden="1">
      <c r="A101" s="2" t="s">
        <v>145</v>
      </c>
      <c r="B101" t="s">
        <v>52</v>
      </c>
      <c r="C101" s="3">
        <v>8</v>
      </c>
      <c r="D101" t="s">
        <v>53</v>
      </c>
    </row>
    <row r="102" spans="1:6" ht="15.75" hidden="1">
      <c r="A102" s="2" t="s">
        <v>146</v>
      </c>
      <c r="B102" t="s">
        <v>52</v>
      </c>
      <c r="C102" s="3">
        <v>8</v>
      </c>
      <c r="D102" t="s">
        <v>53</v>
      </c>
    </row>
    <row r="103" spans="1:6" ht="15.75">
      <c r="A103" s="2" t="s">
        <v>148</v>
      </c>
      <c r="B103" t="s">
        <v>55</v>
      </c>
      <c r="C103" s="3">
        <v>1</v>
      </c>
      <c r="D103" t="s">
        <v>53</v>
      </c>
    </row>
    <row r="104" spans="1:6" ht="15.75" hidden="1">
      <c r="A104" s="2" t="s">
        <v>149</v>
      </c>
      <c r="B104" t="s">
        <v>55</v>
      </c>
      <c r="C104" s="3">
        <v>128</v>
      </c>
      <c r="D104" t="s">
        <v>53</v>
      </c>
    </row>
    <row r="105" spans="1:6" ht="15.75" hidden="1">
      <c r="A105" s="2" t="s">
        <v>147</v>
      </c>
      <c r="B105" t="s">
        <v>50</v>
      </c>
      <c r="C105" s="3">
        <v>4</v>
      </c>
      <c r="D105" t="s">
        <v>53</v>
      </c>
    </row>
    <row r="106" spans="1:6" ht="15.75">
      <c r="A106" s="518" t="s">
        <v>699</v>
      </c>
      <c r="B106" s="518" t="s">
        <v>699</v>
      </c>
      <c r="C106" s="525">
        <v>0</v>
      </c>
      <c r="D106" s="518" t="s">
        <v>699</v>
      </c>
    </row>
    <row r="107" spans="1:6" ht="15.75">
      <c r="A107" s="518" t="s">
        <v>699</v>
      </c>
      <c r="B107" s="518" t="s">
        <v>699</v>
      </c>
      <c r="C107" s="525">
        <v>0</v>
      </c>
      <c r="D107" s="518" t="s">
        <v>699</v>
      </c>
    </row>
    <row r="108" spans="1:6" ht="15.75">
      <c r="A108" s="518" t="s">
        <v>699</v>
      </c>
      <c r="B108" s="518" t="s">
        <v>699</v>
      </c>
      <c r="C108" s="525">
        <v>0</v>
      </c>
      <c r="D108" s="518" t="s">
        <v>699</v>
      </c>
    </row>
    <row r="109" spans="1:6" ht="15.75">
      <c r="A109" s="518" t="s">
        <v>699</v>
      </c>
      <c r="B109" s="518" t="s">
        <v>699</v>
      </c>
      <c r="C109" s="525">
        <v>0</v>
      </c>
      <c r="D109" s="518" t="s">
        <v>699</v>
      </c>
    </row>
    <row r="110" spans="1:6" ht="15.75">
      <c r="A110" s="2"/>
      <c r="C110" s="3"/>
    </row>
    <row r="112" spans="1:6" ht="21">
      <c r="A112" s="855" t="s">
        <v>709</v>
      </c>
      <c r="B112" s="855"/>
      <c r="C112" s="855"/>
      <c r="D112" s="855"/>
    </row>
    <row r="113" spans="1:5">
      <c r="A113" s="526" t="s">
        <v>46</v>
      </c>
      <c r="B113" s="527" t="s">
        <v>49</v>
      </c>
      <c r="C113" s="527" t="s">
        <v>48</v>
      </c>
      <c r="D113" s="527" t="s">
        <v>47</v>
      </c>
    </row>
    <row r="114" spans="1:5" ht="15.75" hidden="1">
      <c r="A114" s="2" t="s">
        <v>13</v>
      </c>
      <c r="C114" s="3">
        <v>1</v>
      </c>
      <c r="D114" t="s">
        <v>13</v>
      </c>
    </row>
    <row r="115" spans="1:5" ht="15.75" hidden="1">
      <c r="A115" s="2" t="s">
        <v>393</v>
      </c>
      <c r="B115" s="2" t="s">
        <v>55</v>
      </c>
      <c r="C115" s="267">
        <v>128</v>
      </c>
      <c r="D115" s="2" t="s">
        <v>25</v>
      </c>
      <c r="E115" s="1"/>
    </row>
    <row r="116" spans="1:5" ht="15.75" hidden="1">
      <c r="A116" s="2" t="s">
        <v>385</v>
      </c>
      <c r="B116" s="2" t="s">
        <v>55</v>
      </c>
      <c r="C116" s="267">
        <v>128</v>
      </c>
      <c r="D116" s="2" t="s">
        <v>25</v>
      </c>
      <c r="E116" s="1"/>
    </row>
    <row r="117" spans="1:5" ht="15.75" hidden="1">
      <c r="A117" s="2" t="s">
        <v>388</v>
      </c>
      <c r="B117" s="2" t="s">
        <v>55</v>
      </c>
      <c r="C117" s="267">
        <v>128</v>
      </c>
      <c r="D117" s="2" t="s">
        <v>25</v>
      </c>
      <c r="E117" s="1"/>
    </row>
    <row r="118" spans="1:5" ht="15.75" hidden="1">
      <c r="A118" s="2" t="s">
        <v>386</v>
      </c>
      <c r="B118" s="2" t="s">
        <v>55</v>
      </c>
      <c r="C118" s="267">
        <v>128</v>
      </c>
      <c r="D118" s="2" t="s">
        <v>25</v>
      </c>
      <c r="E118" s="1"/>
    </row>
    <row r="119" spans="1:5" ht="15.75" hidden="1">
      <c r="A119" s="2" t="s">
        <v>371</v>
      </c>
      <c r="B119" s="2" t="s">
        <v>55</v>
      </c>
      <c r="C119" s="267">
        <v>128</v>
      </c>
      <c r="D119" s="2" t="s">
        <v>25</v>
      </c>
      <c r="E119" s="1"/>
    </row>
    <row r="120" spans="1:5" ht="15.75" hidden="1">
      <c r="A120" s="2" t="s">
        <v>389</v>
      </c>
      <c r="B120" s="2" t="s">
        <v>55</v>
      </c>
      <c r="C120" s="267">
        <v>128</v>
      </c>
      <c r="D120" s="2" t="s">
        <v>25</v>
      </c>
      <c r="E120" s="1"/>
    </row>
    <row r="121" spans="1:5" ht="15.75" hidden="1">
      <c r="A121" s="2" t="s">
        <v>384</v>
      </c>
      <c r="B121" s="2" t="s">
        <v>55</v>
      </c>
      <c r="C121" s="267">
        <v>128</v>
      </c>
      <c r="D121" s="2" t="s">
        <v>25</v>
      </c>
      <c r="E121" s="1"/>
    </row>
    <row r="122" spans="1:5" ht="15.75" hidden="1">
      <c r="A122" s="2" t="s">
        <v>391</v>
      </c>
      <c r="B122" s="2" t="s">
        <v>55</v>
      </c>
      <c r="C122" s="267">
        <v>128</v>
      </c>
      <c r="D122" s="2" t="s">
        <v>25</v>
      </c>
      <c r="E122" s="1"/>
    </row>
    <row r="123" spans="1:5" ht="15.75" hidden="1">
      <c r="A123" s="2" t="s">
        <v>390</v>
      </c>
      <c r="B123" s="2" t="s">
        <v>55</v>
      </c>
      <c r="C123" s="267">
        <v>128</v>
      </c>
      <c r="D123" s="2" t="s">
        <v>25</v>
      </c>
      <c r="E123" s="1"/>
    </row>
    <row r="124" spans="1:5" ht="15.75" hidden="1">
      <c r="A124" s="2" t="s">
        <v>372</v>
      </c>
      <c r="B124" s="2" t="s">
        <v>55</v>
      </c>
      <c r="C124" s="267">
        <v>128</v>
      </c>
      <c r="D124" s="2" t="s">
        <v>25</v>
      </c>
      <c r="E124" s="1"/>
    </row>
    <row r="125" spans="1:5" ht="15.75" hidden="1">
      <c r="A125" s="2" t="s">
        <v>383</v>
      </c>
      <c r="B125" s="2" t="s">
        <v>55</v>
      </c>
      <c r="C125" s="267">
        <v>128</v>
      </c>
      <c r="D125" s="2" t="s">
        <v>25</v>
      </c>
      <c r="E125" s="1"/>
    </row>
    <row r="126" spans="1:5" ht="15.75" hidden="1">
      <c r="A126" s="2" t="s">
        <v>380</v>
      </c>
      <c r="B126" s="2" t="s">
        <v>55</v>
      </c>
      <c r="C126" s="267">
        <v>128</v>
      </c>
      <c r="D126" s="2" t="s">
        <v>25</v>
      </c>
      <c r="E126" s="1"/>
    </row>
    <row r="127" spans="1:5" ht="15.75" hidden="1">
      <c r="A127" s="2" t="s">
        <v>392</v>
      </c>
      <c r="B127" s="2" t="s">
        <v>55</v>
      </c>
      <c r="C127" s="267">
        <v>128</v>
      </c>
      <c r="D127" s="2" t="s">
        <v>25</v>
      </c>
      <c r="E127" s="1"/>
    </row>
    <row r="128" spans="1:5" ht="15.75" hidden="1">
      <c r="A128" s="2" t="s">
        <v>374</v>
      </c>
      <c r="B128" s="2" t="s">
        <v>55</v>
      </c>
      <c r="C128" s="267">
        <v>128</v>
      </c>
      <c r="D128" s="2" t="s">
        <v>25</v>
      </c>
      <c r="E128" s="1"/>
    </row>
    <row r="129" spans="1:5" ht="15.75">
      <c r="A129" s="2" t="s">
        <v>387</v>
      </c>
      <c r="B129" s="2" t="s">
        <v>55</v>
      </c>
      <c r="C129" s="267">
        <v>128</v>
      </c>
      <c r="D129" s="2" t="s">
        <v>25</v>
      </c>
      <c r="E129" s="1"/>
    </row>
    <row r="130" spans="1:5" ht="15.75">
      <c r="A130" s="518" t="s">
        <v>699</v>
      </c>
      <c r="B130" s="518" t="s">
        <v>699</v>
      </c>
      <c r="C130" s="525">
        <v>0</v>
      </c>
      <c r="D130" s="518" t="s">
        <v>699</v>
      </c>
      <c r="E130" s="1"/>
    </row>
    <row r="131" spans="1:5" ht="15.75">
      <c r="A131" s="518" t="s">
        <v>699</v>
      </c>
      <c r="B131" s="518" t="s">
        <v>699</v>
      </c>
      <c r="C131" s="525">
        <v>0</v>
      </c>
      <c r="D131" s="518" t="s">
        <v>699</v>
      </c>
      <c r="E131" s="1"/>
    </row>
    <row r="132" spans="1:5" ht="15.75">
      <c r="A132" s="518" t="s">
        <v>699</v>
      </c>
      <c r="B132" s="518" t="s">
        <v>699</v>
      </c>
      <c r="C132" s="525">
        <v>0</v>
      </c>
      <c r="D132" s="518" t="s">
        <v>699</v>
      </c>
      <c r="E132" s="1"/>
    </row>
    <row r="133" spans="1:5" ht="15.75">
      <c r="A133" s="518" t="s">
        <v>699</v>
      </c>
      <c r="B133" s="518" t="s">
        <v>699</v>
      </c>
      <c r="C133" s="525">
        <v>0</v>
      </c>
      <c r="D133" s="518" t="s">
        <v>699</v>
      </c>
      <c r="E133" s="1"/>
    </row>
    <row r="134" spans="1:5">
      <c r="E134" s="1"/>
    </row>
    <row r="135" spans="1:5">
      <c r="E135" s="1"/>
    </row>
    <row r="136" spans="1:5" ht="21">
      <c r="A136" s="855" t="s">
        <v>154</v>
      </c>
      <c r="B136" s="855"/>
      <c r="C136" s="855"/>
      <c r="D136" s="855"/>
      <c r="E136" s="1"/>
    </row>
    <row r="137" spans="1:5">
      <c r="A137" s="526" t="s">
        <v>46</v>
      </c>
      <c r="B137" s="527" t="s">
        <v>49</v>
      </c>
      <c r="C137" s="527" t="s">
        <v>48</v>
      </c>
      <c r="D137" s="527" t="s">
        <v>47</v>
      </c>
      <c r="E137" s="1"/>
    </row>
    <row r="138" spans="1:5" ht="15.75" hidden="1">
      <c r="A138" s="2" t="s">
        <v>13</v>
      </c>
      <c r="C138" s="3">
        <v>1</v>
      </c>
      <c r="D138" t="s">
        <v>13</v>
      </c>
      <c r="E138" s="1"/>
    </row>
    <row r="139" spans="1:5" hidden="1">
      <c r="A139" t="s">
        <v>155</v>
      </c>
      <c r="B139" t="s">
        <v>52</v>
      </c>
      <c r="C139" s="3">
        <v>8</v>
      </c>
      <c r="D139" t="s">
        <v>53</v>
      </c>
    </row>
    <row r="140" spans="1:5" hidden="1">
      <c r="A140" t="s">
        <v>156</v>
      </c>
      <c r="B140" t="s">
        <v>55</v>
      </c>
      <c r="C140" s="3">
        <v>1</v>
      </c>
      <c r="D140" t="s">
        <v>53</v>
      </c>
    </row>
    <row r="141" spans="1:5" hidden="1">
      <c r="A141" t="s">
        <v>157</v>
      </c>
      <c r="B141" t="s">
        <v>58</v>
      </c>
      <c r="C141" s="3">
        <v>1</v>
      </c>
      <c r="D141" t="s">
        <v>30</v>
      </c>
    </row>
    <row r="142" spans="1:5" hidden="1">
      <c r="A142" t="s">
        <v>158</v>
      </c>
      <c r="B142" t="s">
        <v>50</v>
      </c>
      <c r="C142" s="3">
        <v>4</v>
      </c>
      <c r="D142" t="s">
        <v>53</v>
      </c>
    </row>
    <row r="143" spans="1:5" hidden="1"/>
    <row r="144" spans="1:5" hidden="1"/>
    <row r="145" spans="1:4" ht="15.75" hidden="1">
      <c r="A145" s="2" t="s">
        <v>13</v>
      </c>
      <c r="C145" s="3">
        <v>1</v>
      </c>
      <c r="D145" t="s">
        <v>13</v>
      </c>
    </row>
    <row r="146" spans="1:4" hidden="1">
      <c r="A146" t="s">
        <v>415</v>
      </c>
      <c r="B146" t="s">
        <v>55</v>
      </c>
      <c r="C146" s="3">
        <v>1</v>
      </c>
      <c r="D146" t="s">
        <v>53</v>
      </c>
    </row>
    <row r="147" spans="1:4" hidden="1">
      <c r="A147" t="s">
        <v>416</v>
      </c>
      <c r="B147" t="s">
        <v>55</v>
      </c>
      <c r="C147" s="3">
        <v>1</v>
      </c>
      <c r="D147" t="s">
        <v>53</v>
      </c>
    </row>
    <row r="148" spans="1:4" hidden="1">
      <c r="A148" t="s">
        <v>417</v>
      </c>
      <c r="B148" t="s">
        <v>55</v>
      </c>
      <c r="C148" s="3">
        <v>1</v>
      </c>
      <c r="D148" t="s">
        <v>53</v>
      </c>
    </row>
    <row r="149" spans="1:4" hidden="1">
      <c r="A149" t="s">
        <v>439</v>
      </c>
      <c r="B149" t="s">
        <v>55</v>
      </c>
      <c r="C149" s="3">
        <v>1</v>
      </c>
      <c r="D149" t="s">
        <v>53</v>
      </c>
    </row>
    <row r="150" spans="1:4" hidden="1">
      <c r="A150" t="s">
        <v>440</v>
      </c>
      <c r="B150" t="s">
        <v>55</v>
      </c>
      <c r="C150" s="3">
        <v>1</v>
      </c>
      <c r="D150" t="s">
        <v>53</v>
      </c>
    </row>
    <row r="151" spans="1:4" hidden="1">
      <c r="A151" t="s">
        <v>441</v>
      </c>
      <c r="B151" t="s">
        <v>55</v>
      </c>
      <c r="C151" s="3">
        <v>1</v>
      </c>
      <c r="D151" t="s">
        <v>53</v>
      </c>
    </row>
    <row r="152" spans="1:4" hidden="1">
      <c r="A152" t="s">
        <v>419</v>
      </c>
      <c r="B152" t="s">
        <v>55</v>
      </c>
      <c r="C152" s="3">
        <v>1</v>
      </c>
      <c r="D152" t="s">
        <v>53</v>
      </c>
    </row>
    <row r="153" spans="1:4" hidden="1">
      <c r="A153" t="s">
        <v>420</v>
      </c>
      <c r="B153" t="s">
        <v>55</v>
      </c>
      <c r="C153" s="3">
        <v>1</v>
      </c>
      <c r="D153" t="s">
        <v>53</v>
      </c>
    </row>
    <row r="154" spans="1:4" hidden="1">
      <c r="A154" t="s">
        <v>442</v>
      </c>
      <c r="B154" t="s">
        <v>55</v>
      </c>
      <c r="C154" s="3">
        <v>1</v>
      </c>
      <c r="D154" t="s">
        <v>53</v>
      </c>
    </row>
    <row r="155" spans="1:4" hidden="1">
      <c r="A155" t="s">
        <v>421</v>
      </c>
      <c r="B155" t="s">
        <v>55</v>
      </c>
      <c r="C155" s="3">
        <v>1</v>
      </c>
      <c r="D155" t="s">
        <v>53</v>
      </c>
    </row>
    <row r="156" spans="1:4" hidden="1">
      <c r="A156" t="s">
        <v>443</v>
      </c>
      <c r="B156" t="s">
        <v>55</v>
      </c>
      <c r="C156" s="3">
        <v>1</v>
      </c>
      <c r="D156" t="s">
        <v>53</v>
      </c>
    </row>
    <row r="157" spans="1:4" hidden="1">
      <c r="A157" t="s">
        <v>422</v>
      </c>
      <c r="B157" t="s">
        <v>55</v>
      </c>
      <c r="C157" s="3">
        <v>1</v>
      </c>
      <c r="D157" t="s">
        <v>53</v>
      </c>
    </row>
    <row r="158" spans="1:4" hidden="1">
      <c r="A158" t="s">
        <v>444</v>
      </c>
      <c r="B158" t="s">
        <v>52</v>
      </c>
      <c r="C158" s="3">
        <v>8</v>
      </c>
      <c r="D158" t="s">
        <v>53</v>
      </c>
    </row>
    <row r="159" spans="1:4" hidden="1">
      <c r="A159" t="s">
        <v>445</v>
      </c>
      <c r="B159" t="s">
        <v>55</v>
      </c>
      <c r="C159" s="3">
        <v>1</v>
      </c>
      <c r="D159" t="s">
        <v>53</v>
      </c>
    </row>
    <row r="160" spans="1:4" hidden="1">
      <c r="A160" t="s">
        <v>446</v>
      </c>
      <c r="B160" t="s">
        <v>55</v>
      </c>
      <c r="C160" s="3">
        <v>1</v>
      </c>
      <c r="D160" t="s">
        <v>53</v>
      </c>
    </row>
    <row r="161" spans="1:4" hidden="1">
      <c r="A161" t="s">
        <v>447</v>
      </c>
      <c r="B161" t="s">
        <v>58</v>
      </c>
      <c r="C161" s="3">
        <v>50</v>
      </c>
      <c r="D161" t="s">
        <v>30</v>
      </c>
    </row>
    <row r="162" spans="1:4" hidden="1">
      <c r="A162" t="s">
        <v>423</v>
      </c>
      <c r="B162" t="s">
        <v>52</v>
      </c>
      <c r="C162" s="3">
        <v>8</v>
      </c>
      <c r="D162" t="s">
        <v>53</v>
      </c>
    </row>
    <row r="163" spans="1:4" hidden="1">
      <c r="A163" t="s">
        <v>435</v>
      </c>
      <c r="B163" t="s">
        <v>58</v>
      </c>
      <c r="C163" s="3">
        <v>5</v>
      </c>
      <c r="D163" t="s">
        <v>30</v>
      </c>
    </row>
    <row r="164" spans="1:4" hidden="1">
      <c r="A164" t="s">
        <v>436</v>
      </c>
      <c r="B164" t="s">
        <v>52</v>
      </c>
      <c r="C164" s="3">
        <v>8</v>
      </c>
      <c r="D164" t="s">
        <v>53</v>
      </c>
    </row>
    <row r="165" spans="1:4" hidden="1">
      <c r="A165" t="s">
        <v>448</v>
      </c>
      <c r="B165" t="s">
        <v>55</v>
      </c>
      <c r="C165" s="3">
        <v>1</v>
      </c>
      <c r="D165" t="s">
        <v>53</v>
      </c>
    </row>
    <row r="166" spans="1:4" hidden="1">
      <c r="A166" t="s">
        <v>449</v>
      </c>
      <c r="B166" t="s">
        <v>58</v>
      </c>
      <c r="C166" s="3">
        <v>1</v>
      </c>
      <c r="D166" t="s">
        <v>30</v>
      </c>
    </row>
    <row r="167" spans="1:4" hidden="1">
      <c r="A167" t="s">
        <v>450</v>
      </c>
      <c r="B167" t="s">
        <v>55</v>
      </c>
      <c r="C167" s="3">
        <v>1</v>
      </c>
      <c r="D167" t="s">
        <v>53</v>
      </c>
    </row>
    <row r="168" spans="1:4" hidden="1">
      <c r="A168" t="s">
        <v>451</v>
      </c>
      <c r="B168" t="s">
        <v>55</v>
      </c>
      <c r="C168" s="3">
        <v>1</v>
      </c>
      <c r="D168" t="s">
        <v>53</v>
      </c>
    </row>
    <row r="169" spans="1:4" hidden="1">
      <c r="A169" t="s">
        <v>452</v>
      </c>
      <c r="B169" t="s">
        <v>55</v>
      </c>
      <c r="C169" s="3">
        <v>1</v>
      </c>
      <c r="D169" t="s">
        <v>53</v>
      </c>
    </row>
    <row r="170" spans="1:4" hidden="1">
      <c r="A170" t="s">
        <v>424</v>
      </c>
      <c r="B170" t="s">
        <v>55</v>
      </c>
      <c r="C170" s="3">
        <v>1</v>
      </c>
      <c r="D170" t="s">
        <v>53</v>
      </c>
    </row>
    <row r="171" spans="1:4" hidden="1">
      <c r="A171" t="s">
        <v>425</v>
      </c>
      <c r="B171" t="s">
        <v>55</v>
      </c>
      <c r="C171" s="3">
        <v>1</v>
      </c>
      <c r="D171" t="s">
        <v>53</v>
      </c>
    </row>
    <row r="172" spans="1:4" hidden="1">
      <c r="A172" t="s">
        <v>453</v>
      </c>
      <c r="B172" t="s">
        <v>52</v>
      </c>
      <c r="C172" s="3">
        <v>8</v>
      </c>
      <c r="D172" t="s">
        <v>53</v>
      </c>
    </row>
    <row r="173" spans="1:4" hidden="1">
      <c r="A173" t="s">
        <v>454</v>
      </c>
      <c r="B173" t="s">
        <v>55</v>
      </c>
      <c r="C173" s="3">
        <v>1</v>
      </c>
      <c r="D173" t="s">
        <v>53</v>
      </c>
    </row>
    <row r="174" spans="1:4" hidden="1">
      <c r="A174" t="s">
        <v>429</v>
      </c>
      <c r="B174" t="s">
        <v>52</v>
      </c>
      <c r="C174" s="3">
        <v>8</v>
      </c>
      <c r="D174" t="s">
        <v>53</v>
      </c>
    </row>
    <row r="175" spans="1:4" hidden="1">
      <c r="A175" t="s">
        <v>438</v>
      </c>
      <c r="B175" t="s">
        <v>52</v>
      </c>
      <c r="C175" s="3">
        <v>8</v>
      </c>
      <c r="D175" t="s">
        <v>53</v>
      </c>
    </row>
    <row r="176" spans="1:4" hidden="1">
      <c r="A176" t="s">
        <v>437</v>
      </c>
      <c r="B176" t="s">
        <v>55</v>
      </c>
      <c r="C176" s="3">
        <v>1</v>
      </c>
      <c r="D176" t="s">
        <v>53</v>
      </c>
    </row>
    <row r="177" spans="1:4" hidden="1">
      <c r="A177" t="s">
        <v>461</v>
      </c>
      <c r="B177" t="s">
        <v>55</v>
      </c>
      <c r="C177" s="3">
        <v>1</v>
      </c>
      <c r="D177" t="s">
        <v>53</v>
      </c>
    </row>
    <row r="178" spans="1:4" hidden="1">
      <c r="A178" t="s">
        <v>455</v>
      </c>
      <c r="B178" t="s">
        <v>55</v>
      </c>
      <c r="C178" s="3">
        <v>1</v>
      </c>
      <c r="D178" t="s">
        <v>53</v>
      </c>
    </row>
    <row r="179" spans="1:4" hidden="1">
      <c r="A179" t="s">
        <v>456</v>
      </c>
      <c r="B179" t="s">
        <v>55</v>
      </c>
      <c r="C179" s="3">
        <v>1</v>
      </c>
      <c r="D179" t="s">
        <v>53</v>
      </c>
    </row>
    <row r="180" spans="1:4" hidden="1">
      <c r="A180" t="s">
        <v>426</v>
      </c>
      <c r="B180" t="s">
        <v>55</v>
      </c>
      <c r="C180" s="3">
        <v>1</v>
      </c>
      <c r="D180" t="s">
        <v>53</v>
      </c>
    </row>
    <row r="181" spans="1:4" hidden="1">
      <c r="A181" t="s">
        <v>427</v>
      </c>
      <c r="B181" t="s">
        <v>55</v>
      </c>
      <c r="C181" s="3">
        <v>1</v>
      </c>
      <c r="D181" t="s">
        <v>53</v>
      </c>
    </row>
    <row r="182" spans="1:4" hidden="1">
      <c r="A182" t="s">
        <v>457</v>
      </c>
      <c r="B182" t="s">
        <v>55</v>
      </c>
      <c r="C182" s="3">
        <v>1</v>
      </c>
      <c r="D182" t="s">
        <v>53</v>
      </c>
    </row>
    <row r="183" spans="1:4" hidden="1">
      <c r="A183" t="s">
        <v>458</v>
      </c>
      <c r="B183" t="s">
        <v>55</v>
      </c>
      <c r="C183" s="3">
        <v>1</v>
      </c>
      <c r="D183" t="s">
        <v>53</v>
      </c>
    </row>
    <row r="184" spans="1:4" hidden="1">
      <c r="A184" t="s">
        <v>459</v>
      </c>
      <c r="B184" t="s">
        <v>50</v>
      </c>
      <c r="C184" s="3">
        <v>4</v>
      </c>
      <c r="D184" t="s">
        <v>53</v>
      </c>
    </row>
    <row r="185" spans="1:4" hidden="1">
      <c r="A185" t="s">
        <v>430</v>
      </c>
      <c r="B185" t="s">
        <v>58</v>
      </c>
      <c r="C185" s="3">
        <v>1</v>
      </c>
      <c r="D185" t="s">
        <v>30</v>
      </c>
    </row>
    <row r="186" spans="1:4" hidden="1">
      <c r="A186" t="s">
        <v>431</v>
      </c>
      <c r="B186" t="s">
        <v>55</v>
      </c>
      <c r="C186" s="3">
        <v>1</v>
      </c>
      <c r="D186" t="s">
        <v>53</v>
      </c>
    </row>
    <row r="187" spans="1:4">
      <c r="A187" t="s">
        <v>433</v>
      </c>
      <c r="B187" t="s">
        <v>55</v>
      </c>
      <c r="C187" s="3">
        <v>1</v>
      </c>
      <c r="D187" t="s">
        <v>53</v>
      </c>
    </row>
    <row r="188" spans="1:4" ht="15.75">
      <c r="A188" s="518" t="s">
        <v>699</v>
      </c>
      <c r="B188" s="518" t="s">
        <v>699</v>
      </c>
      <c r="C188" s="525">
        <v>0</v>
      </c>
      <c r="D188" s="518" t="s">
        <v>699</v>
      </c>
    </row>
    <row r="189" spans="1:4" ht="15.75">
      <c r="A189" s="518" t="s">
        <v>699</v>
      </c>
      <c r="B189" s="518" t="s">
        <v>699</v>
      </c>
      <c r="C189" s="525">
        <v>0</v>
      </c>
      <c r="D189" s="518" t="s">
        <v>699</v>
      </c>
    </row>
    <row r="190" spans="1:4" ht="15.75">
      <c r="A190" s="518" t="s">
        <v>699</v>
      </c>
      <c r="B190" s="518" t="s">
        <v>699</v>
      </c>
      <c r="C190" s="525">
        <v>0</v>
      </c>
      <c r="D190" s="518" t="s">
        <v>699</v>
      </c>
    </row>
    <row r="191" spans="1:4" ht="15.75">
      <c r="A191" s="518" t="s">
        <v>699</v>
      </c>
      <c r="B191" s="518" t="s">
        <v>699</v>
      </c>
      <c r="C191" s="525">
        <v>0</v>
      </c>
      <c r="D191" s="518" t="s">
        <v>699</v>
      </c>
    </row>
  </sheetData>
  <sheetProtection algorithmName="SHA-512" hashValue="kaZE3Y6glQEJ39H9sgGszQJDZq+Wk/T1ojHmcX6Yvxn4sM5/oemZz+0fobAWyvPZoFWiOJRFsj64UyRN/UI9zA==" saltValue="CUFXRY+qw3khn1H+WL5Vkg==" spinCount="100000" sheet="1" objects="1" scenarios="1"/>
  <mergeCells count="5">
    <mergeCell ref="A97:D97"/>
    <mergeCell ref="A112:D112"/>
    <mergeCell ref="A136:D136"/>
    <mergeCell ref="A2:F2"/>
    <mergeCell ref="A48:F48"/>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A202"/>
  <sheetViews>
    <sheetView zoomScale="80" zoomScaleNormal="80" workbookViewId="0">
      <pane ySplit="5" topLeftCell="A6" activePane="bottomLeft" state="frozen"/>
      <selection pane="bottomLeft" activeCell="L29" sqref="L29"/>
    </sheetView>
  </sheetViews>
  <sheetFormatPr defaultColWidth="9.140625" defaultRowHeight="18.75"/>
  <cols>
    <col min="1" max="1" width="42.42578125" style="149" customWidth="1"/>
    <col min="2" max="2" width="2.42578125" style="149" customWidth="1"/>
    <col min="3" max="3" width="14.42578125" style="149" bestFit="1" customWidth="1"/>
    <col min="4" max="4" width="12.7109375" style="149" customWidth="1"/>
    <col min="5" max="5" width="17" style="149" bestFit="1" customWidth="1"/>
    <col min="6" max="6" width="4.7109375" style="149" customWidth="1"/>
    <col min="7" max="7" width="14.42578125" style="149" bestFit="1" customWidth="1"/>
    <col min="8" max="8" width="12.7109375" style="149" customWidth="1"/>
    <col min="9" max="9" width="17" style="149" customWidth="1"/>
    <col min="10" max="10" width="4.7109375" style="149" customWidth="1"/>
    <col min="11" max="11" width="14.42578125" style="149" bestFit="1" customWidth="1"/>
    <col min="12" max="12" width="15.28515625" style="149" bestFit="1" customWidth="1"/>
    <col min="13" max="13" width="18" style="149" bestFit="1" customWidth="1"/>
    <col min="14" max="14" width="10.140625" style="149" customWidth="1"/>
    <col min="15" max="21" width="9.140625" style="149"/>
    <col min="22" max="22" width="18.28515625" style="149" hidden="1" customWidth="1"/>
    <col min="23" max="27" width="9.140625" style="149" hidden="1" customWidth="1"/>
    <col min="28" max="29" width="0" style="149" hidden="1" customWidth="1"/>
    <col min="30" max="16384" width="9.140625" style="149"/>
  </cols>
  <sheetData>
    <row r="1" spans="1:27" ht="15.75" customHeight="1">
      <c r="A1" s="682" t="s">
        <v>560</v>
      </c>
      <c r="B1" s="683"/>
      <c r="C1" s="683"/>
      <c r="D1" s="683"/>
      <c r="E1" s="683"/>
      <c r="F1" s="683"/>
      <c r="G1" s="683"/>
      <c r="H1" s="683"/>
      <c r="I1" s="683"/>
      <c r="J1" s="683"/>
      <c r="K1" s="683"/>
      <c r="L1" s="683"/>
      <c r="M1" s="684"/>
    </row>
    <row r="2" spans="1:27" ht="15.75" customHeight="1">
      <c r="A2" s="685"/>
      <c r="B2" s="686"/>
      <c r="C2" s="686"/>
      <c r="D2" s="686"/>
      <c r="E2" s="686"/>
      <c r="F2" s="686"/>
      <c r="G2" s="686"/>
      <c r="H2" s="686"/>
      <c r="I2" s="686"/>
      <c r="J2" s="686"/>
      <c r="K2" s="686"/>
      <c r="L2" s="686"/>
      <c r="M2" s="687"/>
    </row>
    <row r="3" spans="1:27" ht="15.75" customHeight="1" thickBot="1">
      <c r="A3" s="717"/>
      <c r="B3" s="718"/>
      <c r="C3" s="718"/>
      <c r="D3" s="718"/>
      <c r="E3" s="718"/>
      <c r="F3" s="718"/>
      <c r="G3" s="718"/>
      <c r="H3" s="718"/>
      <c r="I3" s="718"/>
      <c r="J3" s="718"/>
      <c r="K3" s="718"/>
      <c r="L3" s="718"/>
      <c r="M3" s="719"/>
    </row>
    <row r="4" spans="1:27" ht="19.5" thickBot="1">
      <c r="A4" s="150"/>
      <c r="B4" s="151"/>
      <c r="C4" s="152"/>
      <c r="D4" s="152"/>
      <c r="E4" s="152"/>
      <c r="F4" s="152"/>
      <c r="G4" s="152"/>
      <c r="H4" s="152"/>
      <c r="I4" s="152"/>
      <c r="J4" s="152"/>
      <c r="K4" s="152"/>
      <c r="L4" s="152"/>
      <c r="M4" s="153"/>
    </row>
    <row r="5" spans="1:27" ht="21.75" thickBot="1">
      <c r="A5" s="79"/>
      <c r="B5" s="222"/>
      <c r="C5" s="708" t="s">
        <v>558</v>
      </c>
      <c r="D5" s="709"/>
      <c r="E5" s="710"/>
      <c r="F5" s="148"/>
      <c r="G5" s="708" t="s">
        <v>650</v>
      </c>
      <c r="H5" s="709"/>
      <c r="I5" s="710"/>
      <c r="J5" s="148"/>
      <c r="K5" s="708" t="s">
        <v>594</v>
      </c>
      <c r="L5" s="709"/>
      <c r="M5" s="710"/>
      <c r="V5" s="149" t="s">
        <v>502</v>
      </c>
      <c r="X5" s="149" t="s">
        <v>502</v>
      </c>
      <c r="AA5" s="149" t="s">
        <v>593</v>
      </c>
    </row>
    <row r="6" spans="1:27" ht="21.75" hidden="1" thickBot="1">
      <c r="A6" s="506" t="s">
        <v>501</v>
      </c>
      <c r="B6" s="146"/>
      <c r="C6" s="723" t="s">
        <v>498</v>
      </c>
      <c r="D6" s="724"/>
      <c r="E6" s="725"/>
      <c r="F6" s="235"/>
      <c r="G6" s="723" t="s">
        <v>499</v>
      </c>
      <c r="H6" s="724"/>
      <c r="I6" s="725"/>
      <c r="J6" s="235"/>
      <c r="K6" s="723" t="s">
        <v>592</v>
      </c>
      <c r="L6" s="724"/>
      <c r="M6" s="726"/>
      <c r="V6" s="149" t="s">
        <v>537</v>
      </c>
      <c r="X6" s="149" t="s">
        <v>499</v>
      </c>
      <c r="AA6" s="149" t="s">
        <v>558</v>
      </c>
    </row>
    <row r="7" spans="1:27" ht="16.5" customHeight="1">
      <c r="A7" s="353" t="s">
        <v>136</v>
      </c>
      <c r="B7" s="154"/>
      <c r="C7" s="236"/>
      <c r="D7" s="9"/>
      <c r="E7" s="211"/>
      <c r="F7" s="155"/>
      <c r="G7" s="236"/>
      <c r="H7" s="9"/>
      <c r="I7" s="211"/>
      <c r="J7" s="155"/>
      <c r="K7" s="236"/>
      <c r="L7" s="9"/>
      <c r="M7" s="541"/>
      <c r="V7" s="149" t="s">
        <v>499</v>
      </c>
      <c r="X7" s="149" t="s">
        <v>592</v>
      </c>
      <c r="AA7" s="149" t="s">
        <v>650</v>
      </c>
    </row>
    <row r="8" spans="1:27" ht="16.5" customHeight="1">
      <c r="A8" s="218" t="s">
        <v>404</v>
      </c>
      <c r="B8" s="146"/>
      <c r="C8" s="354" t="s">
        <v>143</v>
      </c>
      <c r="D8" s="87"/>
      <c r="E8" s="156"/>
      <c r="F8" s="157"/>
      <c r="G8" s="354" t="s">
        <v>143</v>
      </c>
      <c r="H8" s="87"/>
      <c r="I8" s="156"/>
      <c r="J8" s="157"/>
      <c r="K8" s="354" t="s">
        <v>143</v>
      </c>
      <c r="L8" s="87"/>
      <c r="M8" s="542"/>
      <c r="V8" s="149" t="s">
        <v>536</v>
      </c>
      <c r="X8" s="149" t="s">
        <v>536</v>
      </c>
      <c r="AA8" s="149" t="s">
        <v>594</v>
      </c>
    </row>
    <row r="9" spans="1:27" ht="16.5" customHeight="1">
      <c r="A9" s="355" t="s">
        <v>358</v>
      </c>
      <c r="B9" s="356"/>
      <c r="C9" s="357">
        <v>0</v>
      </c>
      <c r="D9" s="358"/>
      <c r="E9" s="359"/>
      <c r="F9" s="360"/>
      <c r="G9" s="357">
        <v>0</v>
      </c>
      <c r="H9" s="358"/>
      <c r="I9" s="359"/>
      <c r="J9" s="360"/>
      <c r="K9" s="357">
        <v>0</v>
      </c>
      <c r="L9" s="358"/>
      <c r="M9" s="543"/>
      <c r="V9" s="149" t="s">
        <v>498</v>
      </c>
      <c r="X9" s="149" t="s">
        <v>498</v>
      </c>
    </row>
    <row r="10" spans="1:27" ht="16.5" customHeight="1">
      <c r="A10" s="355" t="s">
        <v>692</v>
      </c>
      <c r="B10" s="356"/>
      <c r="C10" s="361">
        <v>0</v>
      </c>
      <c r="D10" s="362" t="s">
        <v>16</v>
      </c>
      <c r="E10" s="363"/>
      <c r="F10" s="362"/>
      <c r="G10" s="361">
        <v>0</v>
      </c>
      <c r="H10" s="362" t="s">
        <v>16</v>
      </c>
      <c r="I10" s="363"/>
      <c r="J10" s="362"/>
      <c r="K10" s="361">
        <v>0</v>
      </c>
      <c r="L10" s="362" t="s">
        <v>16</v>
      </c>
      <c r="M10" s="380"/>
      <c r="V10" s="149" t="s">
        <v>535</v>
      </c>
      <c r="X10" s="149" t="s">
        <v>535</v>
      </c>
    </row>
    <row r="11" spans="1:27" ht="16.5" customHeight="1">
      <c r="A11" s="364" t="s">
        <v>126</v>
      </c>
      <c r="B11" s="365"/>
      <c r="C11" s="361">
        <v>1</v>
      </c>
      <c r="D11" s="362" t="s">
        <v>126</v>
      </c>
      <c r="E11" s="366"/>
      <c r="F11" s="367"/>
      <c r="G11" s="361">
        <v>1</v>
      </c>
      <c r="H11" s="362" t="s">
        <v>126</v>
      </c>
      <c r="I11" s="366"/>
      <c r="J11" s="367"/>
      <c r="K11" s="361">
        <v>1</v>
      </c>
      <c r="L11" s="362" t="s">
        <v>126</v>
      </c>
      <c r="M11" s="544"/>
      <c r="V11" s="149" t="s">
        <v>500</v>
      </c>
      <c r="X11" s="149" t="s">
        <v>500</v>
      </c>
    </row>
    <row r="12" spans="1:27" ht="16.5" customHeight="1">
      <c r="A12" s="364"/>
      <c r="B12" s="368"/>
      <c r="C12" s="369"/>
      <c r="D12" s="362"/>
      <c r="E12" s="366"/>
      <c r="F12" s="367"/>
      <c r="G12" s="369"/>
      <c r="H12" s="362"/>
      <c r="I12" s="366"/>
      <c r="J12" s="367"/>
      <c r="K12" s="369"/>
      <c r="L12" s="362"/>
      <c r="M12" s="544"/>
    </row>
    <row r="13" spans="1:27" ht="16.5" customHeight="1">
      <c r="A13" s="364" t="s">
        <v>526</v>
      </c>
      <c r="B13" s="368"/>
      <c r="C13" s="370">
        <f>'Gov''t Payments'!B34</f>
        <v>0</v>
      </c>
      <c r="D13" s="362"/>
      <c r="E13" s="366"/>
      <c r="F13" s="367"/>
      <c r="G13" s="370">
        <f>'Gov''t Payments'!C34</f>
        <v>0</v>
      </c>
      <c r="H13" s="362"/>
      <c r="I13" s="366"/>
      <c r="J13" s="367"/>
      <c r="K13" s="370">
        <f>'Gov''t Payments'!G34</f>
        <v>0</v>
      </c>
      <c r="L13" s="362"/>
      <c r="M13" s="544"/>
    </row>
    <row r="14" spans="1:27" ht="16.5" hidden="1" customHeight="1">
      <c r="A14" s="364" t="s">
        <v>693</v>
      </c>
      <c r="B14" s="368"/>
      <c r="C14" s="370">
        <f>'Gov''t Payments'!B60</f>
        <v>0</v>
      </c>
      <c r="D14" s="362"/>
      <c r="E14" s="366"/>
      <c r="F14" s="367"/>
      <c r="G14" s="370">
        <f>'Gov''t Payments'!C60</f>
        <v>0</v>
      </c>
      <c r="H14" s="362"/>
      <c r="I14" s="366"/>
      <c r="J14" s="367"/>
      <c r="K14" s="370">
        <f>'Gov''t Payments'!G60</f>
        <v>0</v>
      </c>
      <c r="L14" s="362"/>
      <c r="M14" s="544"/>
    </row>
    <row r="15" spans="1:27" ht="16.5" customHeight="1">
      <c r="A15" s="364"/>
      <c r="B15" s="368"/>
      <c r="C15" s="371"/>
      <c r="D15" s="362"/>
      <c r="E15" s="366"/>
      <c r="F15" s="367"/>
      <c r="G15" s="371"/>
      <c r="H15" s="362"/>
      <c r="I15" s="366"/>
      <c r="J15" s="367"/>
      <c r="K15" s="371"/>
      <c r="L15" s="362"/>
      <c r="M15" s="544"/>
    </row>
    <row r="16" spans="1:27" ht="16.5" customHeight="1">
      <c r="A16" s="720" t="s">
        <v>405</v>
      </c>
      <c r="B16" s="722"/>
      <c r="C16" s="372" t="s">
        <v>77</v>
      </c>
      <c r="D16" s="372"/>
      <c r="E16" s="373" t="s">
        <v>403</v>
      </c>
      <c r="F16" s="374"/>
      <c r="G16" s="372" t="s">
        <v>77</v>
      </c>
      <c r="H16" s="372"/>
      <c r="I16" s="373" t="s">
        <v>403</v>
      </c>
      <c r="J16" s="374"/>
      <c r="K16" s="372" t="s">
        <v>77</v>
      </c>
      <c r="L16" s="372"/>
      <c r="M16" s="545" t="s">
        <v>403</v>
      </c>
    </row>
    <row r="17" spans="1:14" ht="16.5" customHeight="1" thickBot="1">
      <c r="A17" s="721"/>
      <c r="B17" s="722"/>
      <c r="C17" s="375">
        <f>C9*C10+C13+C14</f>
        <v>0</v>
      </c>
      <c r="D17" s="376"/>
      <c r="E17" s="377">
        <f>C17*$C$11</f>
        <v>0</v>
      </c>
      <c r="F17" s="362"/>
      <c r="G17" s="375">
        <f>G9*G10+G13+G14</f>
        <v>0</v>
      </c>
      <c r="H17" s="376"/>
      <c r="I17" s="378">
        <f>G17*$G$11</f>
        <v>0</v>
      </c>
      <c r="J17" s="362"/>
      <c r="K17" s="375">
        <f>K9*K10+K13+K14</f>
        <v>0</v>
      </c>
      <c r="L17" s="376"/>
      <c r="M17" s="546">
        <f>K17*$G$11</f>
        <v>0</v>
      </c>
    </row>
    <row r="18" spans="1:14" ht="16.5" customHeight="1" thickTop="1">
      <c r="A18" s="355"/>
      <c r="B18" s="356"/>
      <c r="C18" s="379"/>
      <c r="D18" s="367"/>
      <c r="E18" s="363"/>
      <c r="F18" s="362"/>
      <c r="G18" s="379"/>
      <c r="H18" s="367"/>
      <c r="I18" s="363"/>
      <c r="J18" s="362"/>
      <c r="K18" s="379"/>
      <c r="L18" s="367"/>
      <c r="M18" s="380"/>
    </row>
    <row r="19" spans="1:14" ht="16.5" customHeight="1">
      <c r="A19" s="638" t="s">
        <v>503</v>
      </c>
      <c r="B19" s="159"/>
      <c r="C19" s="381"/>
      <c r="D19" s="382"/>
      <c r="E19" s="363"/>
      <c r="F19" s="362"/>
      <c r="G19" s="381"/>
      <c r="H19" s="382"/>
      <c r="I19" s="363"/>
      <c r="J19" s="362"/>
      <c r="K19" s="381"/>
      <c r="L19" s="382"/>
      <c r="M19" s="380"/>
    </row>
    <row r="20" spans="1:14" ht="16.5" customHeight="1">
      <c r="A20" s="639" t="s">
        <v>679</v>
      </c>
      <c r="B20" s="145"/>
      <c r="C20" s="383" t="s">
        <v>77</v>
      </c>
      <c r="D20" s="384"/>
      <c r="E20" s="385" t="s">
        <v>403</v>
      </c>
      <c r="F20" s="374"/>
      <c r="G20" s="383" t="s">
        <v>77</v>
      </c>
      <c r="H20" s="384"/>
      <c r="I20" s="385" t="s">
        <v>403</v>
      </c>
      <c r="J20" s="374"/>
      <c r="K20" s="383" t="s">
        <v>77</v>
      </c>
      <c r="L20" s="384"/>
      <c r="M20" s="386" t="s">
        <v>403</v>
      </c>
    </row>
    <row r="21" spans="1:14" ht="16.5" customHeight="1">
      <c r="A21" s="640" t="s">
        <v>95</v>
      </c>
      <c r="B21" s="387"/>
      <c r="C21" s="388">
        <f>'Variable &amp; Fixed'!G6</f>
        <v>0</v>
      </c>
      <c r="D21" s="389">
        <f t="shared" ref="D21:D46" si="0">C21</f>
        <v>0</v>
      </c>
      <c r="E21" s="390">
        <f t="shared" ref="E21" si="1">C21*$C$11</f>
        <v>0</v>
      </c>
      <c r="F21" s="362"/>
      <c r="G21" s="391">
        <f>'Variable &amp; Fixed'!L6</f>
        <v>0</v>
      </c>
      <c r="H21" s="392">
        <f t="shared" ref="H21:H46" si="2">G21</f>
        <v>0</v>
      </c>
      <c r="I21" s="388">
        <f t="shared" ref="I21:I29" si="3">G21*$G$11</f>
        <v>0</v>
      </c>
      <c r="J21" s="362"/>
      <c r="K21" s="391">
        <f>'Variable &amp; Fixed'!R6</f>
        <v>0</v>
      </c>
      <c r="L21" s="392">
        <f t="shared" ref="L21:L46" si="4">K21</f>
        <v>0</v>
      </c>
      <c r="M21" s="393">
        <f t="shared" ref="M21:M29" si="5">K21*$K$11</f>
        <v>0</v>
      </c>
      <c r="N21" s="160"/>
    </row>
    <row r="22" spans="1:14" ht="16.5" customHeight="1">
      <c r="A22" s="355" t="s">
        <v>96</v>
      </c>
      <c r="B22" s="387"/>
      <c r="C22" s="388">
        <f>'Fertilizer Plan'!G72</f>
        <v>0</v>
      </c>
      <c r="D22" s="389">
        <f t="shared" si="0"/>
        <v>0</v>
      </c>
      <c r="E22" s="390">
        <f t="shared" ref="E22:E29" si="6">C22*$C$11</f>
        <v>0</v>
      </c>
      <c r="F22" s="362"/>
      <c r="G22" s="391">
        <f>'Fertilizer Plan'!S72</f>
        <v>0</v>
      </c>
      <c r="H22" s="392">
        <f t="shared" si="2"/>
        <v>0</v>
      </c>
      <c r="I22" s="388">
        <f t="shared" si="3"/>
        <v>0</v>
      </c>
      <c r="J22" s="362"/>
      <c r="K22" s="391">
        <f>'Fertilizer Plan'!AE72</f>
        <v>0</v>
      </c>
      <c r="L22" s="392">
        <f t="shared" si="4"/>
        <v>0</v>
      </c>
      <c r="M22" s="393">
        <f t="shared" si="5"/>
        <v>0</v>
      </c>
      <c r="N22" s="160"/>
    </row>
    <row r="23" spans="1:14" ht="16.5" customHeight="1">
      <c r="A23" s="355" t="s">
        <v>357</v>
      </c>
      <c r="B23" s="387"/>
      <c r="C23" s="390"/>
      <c r="D23" s="389">
        <f t="shared" si="0"/>
        <v>0</v>
      </c>
      <c r="E23" s="390"/>
      <c r="F23" s="362"/>
      <c r="G23" s="388"/>
      <c r="H23" s="392">
        <f t="shared" si="2"/>
        <v>0</v>
      </c>
      <c r="I23" s="388"/>
      <c r="J23" s="362"/>
      <c r="K23" s="388"/>
      <c r="L23" s="392">
        <f t="shared" si="4"/>
        <v>0</v>
      </c>
      <c r="M23" s="393"/>
      <c r="N23" s="160"/>
    </row>
    <row r="24" spans="1:14" ht="16.5" customHeight="1">
      <c r="A24" s="641" t="s">
        <v>359</v>
      </c>
      <c r="B24" s="394"/>
      <c r="C24" s="388">
        <f>'Chemical Plan'!H19+'Chemical Plan'!H40</f>
        <v>0</v>
      </c>
      <c r="D24" s="389">
        <f t="shared" si="0"/>
        <v>0</v>
      </c>
      <c r="E24" s="390">
        <f>C24*$C$11</f>
        <v>0</v>
      </c>
      <c r="F24" s="362"/>
      <c r="G24" s="391">
        <f>'Chemical Plan'!R19+'Chemical Plan'!R40</f>
        <v>0</v>
      </c>
      <c r="H24" s="392">
        <f t="shared" si="2"/>
        <v>0</v>
      </c>
      <c r="I24" s="388">
        <f>G24*$G$11</f>
        <v>0</v>
      </c>
      <c r="J24" s="362"/>
      <c r="K24" s="391">
        <f>'Chemical Plan'!AB19+'Chemical Plan'!AB40</f>
        <v>0</v>
      </c>
      <c r="L24" s="392">
        <f t="shared" si="4"/>
        <v>0</v>
      </c>
      <c r="M24" s="393">
        <f>K24*$K$11</f>
        <v>0</v>
      </c>
      <c r="N24" s="160"/>
    </row>
    <row r="25" spans="1:14" ht="16.5" customHeight="1">
      <c r="A25" s="641" t="s">
        <v>127</v>
      </c>
      <c r="B25" s="394"/>
      <c r="C25" s="388">
        <f>'Chemical Plan'!H53</f>
        <v>0</v>
      </c>
      <c r="D25" s="389">
        <f t="shared" si="0"/>
        <v>0</v>
      </c>
      <c r="E25" s="390">
        <f t="shared" si="6"/>
        <v>0</v>
      </c>
      <c r="F25" s="362"/>
      <c r="G25" s="391">
        <f>'Chemical Plan'!R53</f>
        <v>0</v>
      </c>
      <c r="H25" s="392">
        <f t="shared" si="2"/>
        <v>0</v>
      </c>
      <c r="I25" s="388">
        <f t="shared" si="3"/>
        <v>0</v>
      </c>
      <c r="J25" s="362"/>
      <c r="K25" s="391">
        <f>'Chemical Plan'!AB53</f>
        <v>0</v>
      </c>
      <c r="L25" s="392">
        <f t="shared" si="4"/>
        <v>0</v>
      </c>
      <c r="M25" s="393">
        <f t="shared" si="5"/>
        <v>0</v>
      </c>
      <c r="N25" s="160"/>
    </row>
    <row r="26" spans="1:14" ht="16.5" customHeight="1">
      <c r="A26" s="641" t="s">
        <v>154</v>
      </c>
      <c r="B26" s="394"/>
      <c r="C26" s="388">
        <f>'Chemical Plan'!H64</f>
        <v>0</v>
      </c>
      <c r="D26" s="389">
        <f t="shared" si="0"/>
        <v>0</v>
      </c>
      <c r="E26" s="390">
        <f t="shared" si="6"/>
        <v>0</v>
      </c>
      <c r="F26" s="362"/>
      <c r="G26" s="391">
        <f>'Chemical Plan'!R64</f>
        <v>0</v>
      </c>
      <c r="H26" s="392">
        <f t="shared" si="2"/>
        <v>0</v>
      </c>
      <c r="I26" s="388">
        <f t="shared" si="3"/>
        <v>0</v>
      </c>
      <c r="J26" s="362"/>
      <c r="K26" s="391">
        <f>'Chemical Plan'!AB64</f>
        <v>0</v>
      </c>
      <c r="L26" s="392">
        <f t="shared" si="4"/>
        <v>0</v>
      </c>
      <c r="M26" s="393">
        <f t="shared" si="5"/>
        <v>0</v>
      </c>
      <c r="N26" s="160"/>
    </row>
    <row r="27" spans="1:14" ht="16.5" customHeight="1">
      <c r="A27" s="355" t="s">
        <v>100</v>
      </c>
      <c r="B27" s="387"/>
      <c r="C27" s="390">
        <f>'Variable &amp; Fixed'!G7</f>
        <v>0</v>
      </c>
      <c r="D27" s="389">
        <f t="shared" si="0"/>
        <v>0</v>
      </c>
      <c r="E27" s="390">
        <f t="shared" si="6"/>
        <v>0</v>
      </c>
      <c r="F27" s="362"/>
      <c r="G27" s="388">
        <f>'Variable &amp; Fixed'!L7</f>
        <v>0</v>
      </c>
      <c r="H27" s="392">
        <f t="shared" si="2"/>
        <v>0</v>
      </c>
      <c r="I27" s="388">
        <f t="shared" si="3"/>
        <v>0</v>
      </c>
      <c r="J27" s="362"/>
      <c r="K27" s="388">
        <f>'Variable &amp; Fixed'!R7</f>
        <v>0</v>
      </c>
      <c r="L27" s="392">
        <f t="shared" si="4"/>
        <v>0</v>
      </c>
      <c r="M27" s="393">
        <f t="shared" si="5"/>
        <v>0</v>
      </c>
      <c r="N27" s="160"/>
    </row>
    <row r="28" spans="1:14" ht="16.5" customHeight="1">
      <c r="A28" s="355" t="s">
        <v>353</v>
      </c>
      <c r="B28" s="387"/>
      <c r="C28" s="390">
        <f>'Variable &amp; Fixed'!G8</f>
        <v>0</v>
      </c>
      <c r="D28" s="389">
        <f t="shared" si="0"/>
        <v>0</v>
      </c>
      <c r="E28" s="390">
        <f t="shared" si="6"/>
        <v>0</v>
      </c>
      <c r="F28" s="362"/>
      <c r="G28" s="388">
        <f>'Variable &amp; Fixed'!L8</f>
        <v>0</v>
      </c>
      <c r="H28" s="392">
        <f t="shared" si="2"/>
        <v>0</v>
      </c>
      <c r="I28" s="388">
        <f t="shared" si="3"/>
        <v>0</v>
      </c>
      <c r="J28" s="362"/>
      <c r="K28" s="388">
        <f>'Variable &amp; Fixed'!R8</f>
        <v>0</v>
      </c>
      <c r="L28" s="392">
        <f t="shared" si="4"/>
        <v>0</v>
      </c>
      <c r="M28" s="393">
        <f t="shared" si="5"/>
        <v>0</v>
      </c>
      <c r="N28" s="160"/>
    </row>
    <row r="29" spans="1:14" ht="16.5" customHeight="1">
      <c r="A29" s="355" t="s">
        <v>106</v>
      </c>
      <c r="B29" s="387"/>
      <c r="C29" s="390">
        <f>'Variable &amp; Fixed'!G9</f>
        <v>0</v>
      </c>
      <c r="D29" s="389">
        <f t="shared" si="0"/>
        <v>0</v>
      </c>
      <c r="E29" s="390">
        <f t="shared" si="6"/>
        <v>0</v>
      </c>
      <c r="F29" s="362"/>
      <c r="G29" s="388">
        <f>'Variable &amp; Fixed'!L9</f>
        <v>0</v>
      </c>
      <c r="H29" s="392">
        <f t="shared" si="2"/>
        <v>0</v>
      </c>
      <c r="I29" s="388">
        <f t="shared" si="3"/>
        <v>0</v>
      </c>
      <c r="J29" s="362"/>
      <c r="K29" s="388">
        <f>'Variable &amp; Fixed'!R9</f>
        <v>0</v>
      </c>
      <c r="L29" s="392">
        <f t="shared" si="4"/>
        <v>0</v>
      </c>
      <c r="M29" s="393">
        <f t="shared" si="5"/>
        <v>0</v>
      </c>
      <c r="N29" s="160"/>
    </row>
    <row r="30" spans="1:14" ht="16.5" customHeight="1">
      <c r="A30" s="355" t="s">
        <v>102</v>
      </c>
      <c r="B30" s="387"/>
      <c r="C30" s="390"/>
      <c r="D30" s="389">
        <f t="shared" si="0"/>
        <v>0</v>
      </c>
      <c r="E30" s="390"/>
      <c r="F30" s="362"/>
      <c r="G30" s="388"/>
      <c r="H30" s="392">
        <f t="shared" si="2"/>
        <v>0</v>
      </c>
      <c r="I30" s="388"/>
      <c r="J30" s="362"/>
      <c r="K30" s="388"/>
      <c r="L30" s="392">
        <f t="shared" si="4"/>
        <v>0</v>
      </c>
      <c r="M30" s="393"/>
      <c r="N30" s="160"/>
    </row>
    <row r="31" spans="1:14" ht="16.5" customHeight="1">
      <c r="A31" s="642" t="s">
        <v>103</v>
      </c>
      <c r="B31" s="368"/>
      <c r="C31" s="390">
        <f>'Variable &amp; Fixed'!G11</f>
        <v>0</v>
      </c>
      <c r="D31" s="389">
        <f t="shared" si="0"/>
        <v>0</v>
      </c>
      <c r="E31" s="390">
        <f>C31*$C$11</f>
        <v>0</v>
      </c>
      <c r="F31" s="362"/>
      <c r="G31" s="388">
        <f>'Variable &amp; Fixed'!L11</f>
        <v>0</v>
      </c>
      <c r="H31" s="392">
        <f t="shared" si="2"/>
        <v>0</v>
      </c>
      <c r="I31" s="388">
        <f t="shared" ref="I31:I46" si="7">G31*$G$11</f>
        <v>0</v>
      </c>
      <c r="J31" s="362"/>
      <c r="K31" s="388">
        <f>'Variable &amp; Fixed'!R11</f>
        <v>0</v>
      </c>
      <c r="L31" s="392">
        <f t="shared" si="4"/>
        <v>0</v>
      </c>
      <c r="M31" s="393">
        <f t="shared" ref="M31:M54" si="8">K31*$K$11</f>
        <v>0</v>
      </c>
      <c r="N31" s="160"/>
    </row>
    <row r="32" spans="1:14" ht="16.5" customHeight="1">
      <c r="A32" s="642" t="s">
        <v>104</v>
      </c>
      <c r="B32" s="368"/>
      <c r="C32" s="390">
        <f>'Variable &amp; Fixed'!G12</f>
        <v>0</v>
      </c>
      <c r="D32" s="389">
        <f t="shared" si="0"/>
        <v>0</v>
      </c>
      <c r="E32" s="390">
        <f>C32*$C$11</f>
        <v>0</v>
      </c>
      <c r="F32" s="362"/>
      <c r="G32" s="388">
        <f>'Variable &amp; Fixed'!L12</f>
        <v>0</v>
      </c>
      <c r="H32" s="392">
        <f t="shared" si="2"/>
        <v>0</v>
      </c>
      <c r="I32" s="388">
        <f t="shared" si="7"/>
        <v>0</v>
      </c>
      <c r="J32" s="362"/>
      <c r="K32" s="388">
        <f>'Variable &amp; Fixed'!R12</f>
        <v>0</v>
      </c>
      <c r="L32" s="392">
        <f t="shared" si="4"/>
        <v>0</v>
      </c>
      <c r="M32" s="393">
        <f t="shared" si="8"/>
        <v>0</v>
      </c>
      <c r="N32" s="160"/>
    </row>
    <row r="33" spans="1:14" ht="16.5" customHeight="1">
      <c r="A33" s="355" t="s">
        <v>105</v>
      </c>
      <c r="B33" s="387"/>
      <c r="C33" s="390"/>
      <c r="D33" s="389">
        <f t="shared" si="0"/>
        <v>0</v>
      </c>
      <c r="E33" s="390"/>
      <c r="F33" s="362"/>
      <c r="G33" s="388"/>
      <c r="H33" s="392">
        <f t="shared" si="2"/>
        <v>0</v>
      </c>
      <c r="I33" s="388"/>
      <c r="J33" s="362"/>
      <c r="K33" s="388"/>
      <c r="L33" s="392">
        <f t="shared" si="4"/>
        <v>0</v>
      </c>
      <c r="M33" s="393"/>
      <c r="N33" s="160"/>
    </row>
    <row r="34" spans="1:14" ht="16.5" customHeight="1">
      <c r="A34" s="395" t="s">
        <v>354</v>
      </c>
      <c r="B34" s="396"/>
      <c r="C34" s="390">
        <f>'Variable &amp; Fixed'!G14</f>
        <v>0</v>
      </c>
      <c r="D34" s="389">
        <f t="shared" si="0"/>
        <v>0</v>
      </c>
      <c r="E34" s="390">
        <f t="shared" ref="E34:E42" si="9">C34*$C$11</f>
        <v>0</v>
      </c>
      <c r="F34" s="362"/>
      <c r="G34" s="388">
        <f>'Variable &amp; Fixed'!L14</f>
        <v>0</v>
      </c>
      <c r="H34" s="392">
        <f t="shared" si="2"/>
        <v>0</v>
      </c>
      <c r="I34" s="388">
        <f t="shared" si="7"/>
        <v>0</v>
      </c>
      <c r="J34" s="362"/>
      <c r="K34" s="388">
        <f>'Variable &amp; Fixed'!R14</f>
        <v>0</v>
      </c>
      <c r="L34" s="392">
        <f t="shared" si="4"/>
        <v>0</v>
      </c>
      <c r="M34" s="393">
        <f t="shared" si="8"/>
        <v>0</v>
      </c>
      <c r="N34" s="160"/>
    </row>
    <row r="35" spans="1:14" ht="16.5" customHeight="1">
      <c r="A35" s="395" t="s">
        <v>355</v>
      </c>
      <c r="B35" s="396"/>
      <c r="C35" s="390">
        <f>'Variable &amp; Fixed'!G15</f>
        <v>0</v>
      </c>
      <c r="D35" s="389">
        <f t="shared" si="0"/>
        <v>0</v>
      </c>
      <c r="E35" s="390">
        <f t="shared" si="9"/>
        <v>0</v>
      </c>
      <c r="F35" s="362"/>
      <c r="G35" s="388">
        <f>'Variable &amp; Fixed'!L15</f>
        <v>0</v>
      </c>
      <c r="H35" s="392">
        <f t="shared" si="2"/>
        <v>0</v>
      </c>
      <c r="I35" s="388">
        <f t="shared" si="7"/>
        <v>0</v>
      </c>
      <c r="J35" s="362"/>
      <c r="K35" s="388">
        <f>'Variable &amp; Fixed'!R15</f>
        <v>0</v>
      </c>
      <c r="L35" s="392">
        <f t="shared" si="4"/>
        <v>0</v>
      </c>
      <c r="M35" s="393">
        <f t="shared" si="8"/>
        <v>0</v>
      </c>
      <c r="N35" s="160"/>
    </row>
    <row r="36" spans="1:14" ht="16.5" customHeight="1">
      <c r="A36" s="355" t="s">
        <v>97</v>
      </c>
      <c r="B36" s="387"/>
      <c r="C36" s="390"/>
      <c r="D36" s="389">
        <f t="shared" si="0"/>
        <v>0</v>
      </c>
      <c r="E36" s="390"/>
      <c r="F36" s="362"/>
      <c r="G36" s="388"/>
      <c r="H36" s="392">
        <f t="shared" si="2"/>
        <v>0</v>
      </c>
      <c r="I36" s="388"/>
      <c r="J36" s="362"/>
      <c r="K36" s="388"/>
      <c r="L36" s="392">
        <f t="shared" si="4"/>
        <v>0</v>
      </c>
      <c r="M36" s="393"/>
      <c r="N36" s="160"/>
    </row>
    <row r="37" spans="1:14" ht="16.5" customHeight="1">
      <c r="A37" s="642" t="s">
        <v>98</v>
      </c>
      <c r="B37" s="368"/>
      <c r="C37" s="390">
        <f>'Variable &amp; Fixed'!G17</f>
        <v>0</v>
      </c>
      <c r="D37" s="389">
        <f t="shared" si="0"/>
        <v>0</v>
      </c>
      <c r="E37" s="390">
        <f t="shared" si="9"/>
        <v>0</v>
      </c>
      <c r="F37" s="362"/>
      <c r="G37" s="388">
        <f>'Variable &amp; Fixed'!L17</f>
        <v>0</v>
      </c>
      <c r="H37" s="392">
        <f t="shared" si="2"/>
        <v>0</v>
      </c>
      <c r="I37" s="388">
        <f t="shared" si="7"/>
        <v>0</v>
      </c>
      <c r="J37" s="362"/>
      <c r="K37" s="388">
        <f>'Variable &amp; Fixed'!R17</f>
        <v>0</v>
      </c>
      <c r="L37" s="392">
        <f t="shared" si="4"/>
        <v>0</v>
      </c>
      <c r="M37" s="393">
        <f t="shared" si="8"/>
        <v>0</v>
      </c>
      <c r="N37" s="160"/>
    </row>
    <row r="38" spans="1:14" ht="16.5" customHeight="1">
      <c r="A38" s="642" t="s">
        <v>99</v>
      </c>
      <c r="B38" s="368"/>
      <c r="C38" s="390">
        <f>'Variable &amp; Fixed'!G18</f>
        <v>0</v>
      </c>
      <c r="D38" s="389">
        <f t="shared" si="0"/>
        <v>0</v>
      </c>
      <c r="E38" s="390">
        <f t="shared" si="9"/>
        <v>0</v>
      </c>
      <c r="F38" s="362"/>
      <c r="G38" s="388">
        <f>'Variable &amp; Fixed'!L18</f>
        <v>0</v>
      </c>
      <c r="H38" s="392">
        <f t="shared" si="2"/>
        <v>0</v>
      </c>
      <c r="I38" s="388">
        <f t="shared" si="7"/>
        <v>0</v>
      </c>
      <c r="J38" s="362"/>
      <c r="K38" s="388">
        <f>'Variable &amp; Fixed'!R18</f>
        <v>0</v>
      </c>
      <c r="L38" s="392">
        <f t="shared" si="4"/>
        <v>0</v>
      </c>
      <c r="M38" s="393">
        <f t="shared" si="8"/>
        <v>0</v>
      </c>
      <c r="N38" s="160"/>
    </row>
    <row r="39" spans="1:14" ht="16.5" customHeight="1">
      <c r="A39" s="642" t="s">
        <v>287</v>
      </c>
      <c r="B39" s="368"/>
      <c r="C39" s="390">
        <f>'Variable &amp; Fixed'!G19</f>
        <v>0</v>
      </c>
      <c r="D39" s="389">
        <f t="shared" si="0"/>
        <v>0</v>
      </c>
      <c r="E39" s="390">
        <f t="shared" si="9"/>
        <v>0</v>
      </c>
      <c r="F39" s="362"/>
      <c r="G39" s="388">
        <f>'Variable &amp; Fixed'!L19</f>
        <v>0</v>
      </c>
      <c r="H39" s="392">
        <f t="shared" si="2"/>
        <v>0</v>
      </c>
      <c r="I39" s="388">
        <f t="shared" si="7"/>
        <v>0</v>
      </c>
      <c r="J39" s="362"/>
      <c r="K39" s="388">
        <f>'Variable &amp; Fixed'!R19</f>
        <v>0</v>
      </c>
      <c r="L39" s="392">
        <f t="shared" si="4"/>
        <v>0</v>
      </c>
      <c r="M39" s="393">
        <f t="shared" si="8"/>
        <v>0</v>
      </c>
      <c r="N39" s="160"/>
    </row>
    <row r="40" spans="1:14" ht="16.5" customHeight="1">
      <c r="A40" s="355" t="s">
        <v>101</v>
      </c>
      <c r="B40" s="387"/>
      <c r="C40" s="390">
        <f>'Variable &amp; Fixed'!G20</f>
        <v>0</v>
      </c>
      <c r="D40" s="389">
        <f t="shared" si="0"/>
        <v>0</v>
      </c>
      <c r="E40" s="390">
        <f t="shared" si="9"/>
        <v>0</v>
      </c>
      <c r="F40" s="362"/>
      <c r="G40" s="388">
        <f>'Variable &amp; Fixed'!L20</f>
        <v>0</v>
      </c>
      <c r="H40" s="392">
        <f t="shared" si="2"/>
        <v>0</v>
      </c>
      <c r="I40" s="388">
        <f t="shared" si="7"/>
        <v>0</v>
      </c>
      <c r="J40" s="362"/>
      <c r="K40" s="388">
        <f>'Variable &amp; Fixed'!R20</f>
        <v>0</v>
      </c>
      <c r="L40" s="392">
        <f t="shared" si="4"/>
        <v>0</v>
      </c>
      <c r="M40" s="393">
        <f t="shared" si="8"/>
        <v>0</v>
      </c>
      <c r="N40" s="160"/>
    </row>
    <row r="41" spans="1:14" ht="16.5" customHeight="1">
      <c r="A41" s="355" t="s">
        <v>107</v>
      </c>
      <c r="B41" s="387"/>
      <c r="C41" s="390">
        <f>'Variable &amp; Fixed'!G21</f>
        <v>0</v>
      </c>
      <c r="D41" s="389">
        <f t="shared" si="0"/>
        <v>0</v>
      </c>
      <c r="E41" s="390">
        <f t="shared" si="9"/>
        <v>0</v>
      </c>
      <c r="F41" s="362"/>
      <c r="G41" s="388">
        <f>'Variable &amp; Fixed'!L21</f>
        <v>0</v>
      </c>
      <c r="H41" s="392">
        <f t="shared" si="2"/>
        <v>0</v>
      </c>
      <c r="I41" s="388">
        <f t="shared" si="7"/>
        <v>0</v>
      </c>
      <c r="J41" s="362"/>
      <c r="K41" s="388">
        <f>'Variable &amp; Fixed'!R21</f>
        <v>0</v>
      </c>
      <c r="L41" s="392">
        <f t="shared" si="4"/>
        <v>0</v>
      </c>
      <c r="M41" s="393">
        <f t="shared" si="8"/>
        <v>0</v>
      </c>
      <c r="N41" s="160"/>
    </row>
    <row r="42" spans="1:14" ht="16.5" customHeight="1">
      <c r="A42" s="355" t="s">
        <v>108</v>
      </c>
      <c r="B42" s="387"/>
      <c r="C42" s="390">
        <f>'Variable &amp; Fixed'!G22</f>
        <v>0</v>
      </c>
      <c r="D42" s="389">
        <f t="shared" si="0"/>
        <v>0</v>
      </c>
      <c r="E42" s="390">
        <f t="shared" si="9"/>
        <v>0</v>
      </c>
      <c r="F42" s="362"/>
      <c r="G42" s="388">
        <f>'Variable &amp; Fixed'!L22</f>
        <v>0</v>
      </c>
      <c r="H42" s="392">
        <f t="shared" si="2"/>
        <v>0</v>
      </c>
      <c r="I42" s="388">
        <f t="shared" si="7"/>
        <v>0</v>
      </c>
      <c r="J42" s="362"/>
      <c r="K42" s="388">
        <f>'Variable &amp; Fixed'!R22</f>
        <v>0</v>
      </c>
      <c r="L42" s="392">
        <f t="shared" si="4"/>
        <v>0</v>
      </c>
      <c r="M42" s="393">
        <f t="shared" si="8"/>
        <v>0</v>
      </c>
      <c r="N42" s="160"/>
    </row>
    <row r="43" spans="1:14" ht="16.5" customHeight="1">
      <c r="A43" s="355" t="s">
        <v>109</v>
      </c>
      <c r="B43" s="387"/>
      <c r="C43" s="390"/>
      <c r="D43" s="389">
        <f t="shared" si="0"/>
        <v>0</v>
      </c>
      <c r="E43" s="390"/>
      <c r="F43" s="362"/>
      <c r="G43" s="388"/>
      <c r="H43" s="392">
        <f t="shared" si="2"/>
        <v>0</v>
      </c>
      <c r="I43" s="388"/>
      <c r="J43" s="362"/>
      <c r="K43" s="388"/>
      <c r="L43" s="392">
        <f t="shared" si="4"/>
        <v>0</v>
      </c>
      <c r="M43" s="393"/>
      <c r="N43" s="160"/>
    </row>
    <row r="44" spans="1:14" ht="16.5" customHeight="1">
      <c r="A44" s="642" t="s">
        <v>129</v>
      </c>
      <c r="B44" s="368"/>
      <c r="C44" s="390">
        <f>'Variable &amp; Fixed'!G24</f>
        <v>0</v>
      </c>
      <c r="D44" s="389">
        <f t="shared" si="0"/>
        <v>0</v>
      </c>
      <c r="E44" s="390">
        <f>C44*$C$11</f>
        <v>0</v>
      </c>
      <c r="F44" s="362"/>
      <c r="G44" s="388">
        <f>'Variable &amp; Fixed'!L24</f>
        <v>0</v>
      </c>
      <c r="H44" s="392">
        <f t="shared" si="2"/>
        <v>0</v>
      </c>
      <c r="I44" s="388">
        <f t="shared" si="7"/>
        <v>0</v>
      </c>
      <c r="J44" s="362"/>
      <c r="K44" s="388">
        <f>'Variable &amp; Fixed'!R24</f>
        <v>0</v>
      </c>
      <c r="L44" s="392">
        <f t="shared" si="4"/>
        <v>0</v>
      </c>
      <c r="M44" s="393">
        <f t="shared" si="8"/>
        <v>0</v>
      </c>
      <c r="N44" s="160"/>
    </row>
    <row r="45" spans="1:14" ht="16.5" customHeight="1">
      <c r="A45" s="642" t="s">
        <v>130</v>
      </c>
      <c r="B45" s="368"/>
      <c r="C45" s="390">
        <f>'Variable &amp; Fixed'!G25</f>
        <v>0</v>
      </c>
      <c r="D45" s="389">
        <f t="shared" si="0"/>
        <v>0</v>
      </c>
      <c r="E45" s="390">
        <f>C45*$C$11</f>
        <v>0</v>
      </c>
      <c r="F45" s="237"/>
      <c r="G45" s="388">
        <f>'Variable &amp; Fixed'!L25</f>
        <v>0</v>
      </c>
      <c r="H45" s="392">
        <f t="shared" si="2"/>
        <v>0</v>
      </c>
      <c r="I45" s="388">
        <f t="shared" si="7"/>
        <v>0</v>
      </c>
      <c r="J45" s="237"/>
      <c r="K45" s="388">
        <f>'Variable &amp; Fixed'!R25</f>
        <v>0</v>
      </c>
      <c r="L45" s="392">
        <f t="shared" si="4"/>
        <v>0</v>
      </c>
      <c r="M45" s="393">
        <f t="shared" si="8"/>
        <v>0</v>
      </c>
      <c r="N45" s="160"/>
    </row>
    <row r="46" spans="1:14" ht="16.5" customHeight="1">
      <c r="A46" s="355" t="s">
        <v>495</v>
      </c>
      <c r="B46" s="387"/>
      <c r="C46" s="390">
        <f>'Variable &amp; Fixed'!G26</f>
        <v>0</v>
      </c>
      <c r="D46" s="389">
        <f t="shared" si="0"/>
        <v>0</v>
      </c>
      <c r="E46" s="390">
        <f t="shared" ref="E46" si="10">C46*$C$11</f>
        <v>0</v>
      </c>
      <c r="F46" s="237"/>
      <c r="G46" s="388">
        <f>'Variable &amp; Fixed'!L26</f>
        <v>0</v>
      </c>
      <c r="H46" s="392">
        <f t="shared" si="2"/>
        <v>0</v>
      </c>
      <c r="I46" s="388">
        <f t="shared" si="7"/>
        <v>0</v>
      </c>
      <c r="J46" s="237"/>
      <c r="K46" s="388">
        <f>'Variable &amp; Fixed'!R26</f>
        <v>0</v>
      </c>
      <c r="L46" s="392">
        <f t="shared" si="4"/>
        <v>0</v>
      </c>
      <c r="M46" s="393">
        <f t="shared" si="8"/>
        <v>0</v>
      </c>
      <c r="N46" s="160"/>
    </row>
    <row r="47" spans="1:14" ht="16.5" customHeight="1">
      <c r="A47" s="355" t="s">
        <v>493</v>
      </c>
      <c r="B47" s="356"/>
      <c r="C47" s="388">
        <f>'Variable &amp; Fixed'!G27</f>
        <v>0</v>
      </c>
      <c r="D47" s="389">
        <f>C47</f>
        <v>0</v>
      </c>
      <c r="E47" s="388">
        <f>C47*$C$11</f>
        <v>0</v>
      </c>
      <c r="F47" s="237"/>
      <c r="G47" s="388">
        <f>'Variable &amp; Fixed'!L27</f>
        <v>0</v>
      </c>
      <c r="H47" s="392">
        <f>G47</f>
        <v>0</v>
      </c>
      <c r="I47" s="388">
        <f>G47*$G$11</f>
        <v>0</v>
      </c>
      <c r="J47" s="237"/>
      <c r="K47" s="388">
        <f>'Variable &amp; Fixed'!R27</f>
        <v>0</v>
      </c>
      <c r="L47" s="392">
        <f>K47</f>
        <v>0</v>
      </c>
      <c r="M47" s="393">
        <f>K47*$K$11</f>
        <v>0</v>
      </c>
      <c r="N47" s="160"/>
    </row>
    <row r="48" spans="1:14" ht="16.5" customHeight="1">
      <c r="A48" s="355" t="s">
        <v>681</v>
      </c>
      <c r="B48" s="387"/>
      <c r="C48" s="388">
        <f>'Loans &amp; Financing'!T10</f>
        <v>0</v>
      </c>
      <c r="D48" s="389">
        <f>C48</f>
        <v>0</v>
      </c>
      <c r="E48" s="388">
        <f>C48*$C$11</f>
        <v>0</v>
      </c>
      <c r="F48" s="362"/>
      <c r="G48" s="388">
        <f>'Loans &amp; Financing'!U10</f>
        <v>0</v>
      </c>
      <c r="H48" s="392">
        <f>G48</f>
        <v>0</v>
      </c>
      <c r="I48" s="388">
        <f>G48*$G$11</f>
        <v>0</v>
      </c>
      <c r="J48" s="362"/>
      <c r="K48" s="391">
        <f>'Loans &amp; Financing'!V10</f>
        <v>0</v>
      </c>
      <c r="L48" s="392">
        <f>K48</f>
        <v>0</v>
      </c>
      <c r="M48" s="393">
        <f>K48*$K$11</f>
        <v>0</v>
      </c>
      <c r="N48" s="160"/>
    </row>
    <row r="49" spans="1:14" ht="16.5" customHeight="1">
      <c r="A49" s="643" t="s">
        <v>494</v>
      </c>
      <c r="B49" s="387"/>
      <c r="C49" s="388">
        <f>'Variable &amp; Fixed'!G28</f>
        <v>0</v>
      </c>
      <c r="D49" s="389">
        <f>C49</f>
        <v>0</v>
      </c>
      <c r="E49" s="388">
        <f>C49*$C$11</f>
        <v>0</v>
      </c>
      <c r="F49" s="362"/>
      <c r="G49" s="388">
        <f>'Variable &amp; Fixed'!L28</f>
        <v>0</v>
      </c>
      <c r="H49" s="392">
        <f>G49</f>
        <v>0</v>
      </c>
      <c r="I49" s="388">
        <f>G49*$G$11</f>
        <v>0</v>
      </c>
      <c r="J49" s="362"/>
      <c r="K49" s="391">
        <f>'Variable &amp; Fixed'!R28</f>
        <v>0</v>
      </c>
      <c r="L49" s="392">
        <f>K49</f>
        <v>0</v>
      </c>
      <c r="M49" s="393">
        <f>K49*$K$11</f>
        <v>0</v>
      </c>
      <c r="N49" s="160"/>
    </row>
    <row r="50" spans="1:14" ht="16.5" customHeight="1" thickBot="1">
      <c r="A50" s="644" t="s">
        <v>800</v>
      </c>
      <c r="B50" s="397"/>
      <c r="C50" s="398">
        <f>SUM(C21:C49)</f>
        <v>0</v>
      </c>
      <c r="D50" s="399"/>
      <c r="E50" s="400">
        <f>SUM(E21:E49)</f>
        <v>0</v>
      </c>
      <c r="F50" s="401"/>
      <c r="G50" s="402">
        <f>SUM(G21:G49)</f>
        <v>0</v>
      </c>
      <c r="H50" s="377"/>
      <c r="I50" s="403">
        <f>SUM(I21:I49)</f>
        <v>0</v>
      </c>
      <c r="J50" s="401"/>
      <c r="K50" s="402">
        <f>SUM(K21:K49)</f>
        <v>0</v>
      </c>
      <c r="L50" s="377"/>
      <c r="M50" s="404">
        <f>SUM(M21:M49)</f>
        <v>0</v>
      </c>
      <c r="N50" s="160"/>
    </row>
    <row r="51" spans="1:14" ht="16.5" customHeight="1" thickTop="1">
      <c r="A51" s="512" t="s">
        <v>694</v>
      </c>
      <c r="B51" s="405"/>
      <c r="C51" s="406">
        <f>C17-C50</f>
        <v>0</v>
      </c>
      <c r="D51" s="407"/>
      <c r="E51" s="406">
        <f>C51*C11</f>
        <v>0</v>
      </c>
      <c r="F51" s="408"/>
      <c r="G51" s="406">
        <f>G17-G50</f>
        <v>0</v>
      </c>
      <c r="H51" s="407"/>
      <c r="I51" s="406">
        <f>G51*G11</f>
        <v>0</v>
      </c>
      <c r="J51" s="408"/>
      <c r="K51" s="406">
        <f>K17-K50</f>
        <v>0</v>
      </c>
      <c r="L51" s="407"/>
      <c r="M51" s="409">
        <f>K51*K11</f>
        <v>0</v>
      </c>
      <c r="N51" s="160"/>
    </row>
    <row r="52" spans="1:14" ht="16.5" customHeight="1">
      <c r="A52" s="513" t="s">
        <v>695</v>
      </c>
      <c r="B52" s="410"/>
      <c r="C52" s="411"/>
      <c r="D52" s="412"/>
      <c r="E52" s="363"/>
      <c r="F52" s="362"/>
      <c r="G52" s="411"/>
      <c r="H52" s="367"/>
      <c r="I52" s="363"/>
      <c r="J52" s="362"/>
      <c r="K52" s="411"/>
      <c r="L52" s="367"/>
      <c r="M52" s="380"/>
    </row>
    <row r="53" spans="1:14" ht="16.5" customHeight="1">
      <c r="A53" s="413" t="s">
        <v>680</v>
      </c>
      <c r="B53" s="145"/>
      <c r="C53" s="383" t="s">
        <v>77</v>
      </c>
      <c r="D53" s="384"/>
      <c r="E53" s="385" t="s">
        <v>403</v>
      </c>
      <c r="F53" s="374"/>
      <c r="G53" s="383" t="s">
        <v>77</v>
      </c>
      <c r="H53" s="384"/>
      <c r="I53" s="385" t="s">
        <v>403</v>
      </c>
      <c r="J53" s="374"/>
      <c r="K53" s="383" t="s">
        <v>77</v>
      </c>
      <c r="L53" s="384"/>
      <c r="M53" s="386" t="s">
        <v>403</v>
      </c>
      <c r="N53" s="160"/>
    </row>
    <row r="54" spans="1:14" ht="16.5" customHeight="1">
      <c r="A54" s="640" t="s">
        <v>356</v>
      </c>
      <c r="B54" s="356"/>
      <c r="C54" s="414">
        <f>'Variable &amp; Fixed'!G32</f>
        <v>0</v>
      </c>
      <c r="D54" s="392">
        <f t="shared" ref="D54:D58" si="11">C54</f>
        <v>0</v>
      </c>
      <c r="E54" s="414">
        <f t="shared" ref="E54" si="12">C54*$C$11</f>
        <v>0</v>
      </c>
      <c r="F54" s="362"/>
      <c r="G54" s="414">
        <f>'Variable &amp; Fixed'!L32</f>
        <v>0</v>
      </c>
      <c r="H54" s="392">
        <f t="shared" ref="H54:H58" si="13">G54</f>
        <v>0</v>
      </c>
      <c r="I54" s="414">
        <f>G54*$G$11</f>
        <v>0</v>
      </c>
      <c r="J54" s="362"/>
      <c r="K54" s="414">
        <f>'Variable &amp; Fixed'!R32</f>
        <v>0</v>
      </c>
      <c r="L54" s="392">
        <f t="shared" ref="L54:L58" si="14">K54</f>
        <v>0</v>
      </c>
      <c r="M54" s="393">
        <f t="shared" si="8"/>
        <v>0</v>
      </c>
      <c r="N54" s="160"/>
    </row>
    <row r="55" spans="1:14" ht="16.5" customHeight="1">
      <c r="A55" s="355" t="s">
        <v>505</v>
      </c>
      <c r="B55" s="356"/>
      <c r="C55" s="388">
        <f>'Variable &amp; Fixed'!G33</f>
        <v>0</v>
      </c>
      <c r="D55" s="392">
        <f t="shared" si="11"/>
        <v>0</v>
      </c>
      <c r="E55" s="388">
        <f>C55*$C$11</f>
        <v>0</v>
      </c>
      <c r="F55" s="362"/>
      <c r="G55" s="388">
        <f>'Variable &amp; Fixed'!L33</f>
        <v>0</v>
      </c>
      <c r="H55" s="392">
        <f t="shared" si="13"/>
        <v>0</v>
      </c>
      <c r="I55" s="388">
        <f>G55*$G$11</f>
        <v>0</v>
      </c>
      <c r="J55" s="362"/>
      <c r="K55" s="388">
        <f>'Variable &amp; Fixed'!R33</f>
        <v>0</v>
      </c>
      <c r="L55" s="392">
        <f t="shared" si="14"/>
        <v>0</v>
      </c>
      <c r="M55" s="393">
        <f>K55*$K$11</f>
        <v>0</v>
      </c>
    </row>
    <row r="56" spans="1:14" ht="16.5" customHeight="1">
      <c r="A56" s="355" t="s">
        <v>290</v>
      </c>
      <c r="B56" s="387"/>
      <c r="C56" s="390">
        <f>'Variable &amp; Fixed'!G34</f>
        <v>0</v>
      </c>
      <c r="D56" s="392">
        <f t="shared" si="11"/>
        <v>0</v>
      </c>
      <c r="E56" s="390">
        <f>C56*$C$11</f>
        <v>0</v>
      </c>
      <c r="F56" s="362"/>
      <c r="G56" s="388">
        <f>'Variable &amp; Fixed'!L34</f>
        <v>0</v>
      </c>
      <c r="H56" s="392">
        <f t="shared" si="13"/>
        <v>0</v>
      </c>
      <c r="I56" s="388">
        <f>G56*$G$11</f>
        <v>0</v>
      </c>
      <c r="J56" s="362"/>
      <c r="K56" s="388">
        <f>'Variable &amp; Fixed'!R34</f>
        <v>0</v>
      </c>
      <c r="L56" s="392">
        <f t="shared" si="14"/>
        <v>0</v>
      </c>
      <c r="M56" s="393">
        <f>K56*$K$11</f>
        <v>0</v>
      </c>
    </row>
    <row r="57" spans="1:14" ht="16.5" customHeight="1">
      <c r="A57" s="355" t="s">
        <v>682</v>
      </c>
      <c r="B57" s="356"/>
      <c r="C57" s="388">
        <f>'Capital &amp; Management'!C12</f>
        <v>0</v>
      </c>
      <c r="D57" s="392">
        <f t="shared" si="11"/>
        <v>0</v>
      </c>
      <c r="E57" s="388">
        <f>C57*$C$11</f>
        <v>0</v>
      </c>
      <c r="F57" s="362"/>
      <c r="G57" s="388">
        <f>'Capital &amp; Management'!D12</f>
        <v>0</v>
      </c>
      <c r="H57" s="392">
        <f t="shared" si="13"/>
        <v>0</v>
      </c>
      <c r="I57" s="388">
        <f>G57*$G$11</f>
        <v>0</v>
      </c>
      <c r="J57" s="362"/>
      <c r="K57" s="388">
        <f>'Capital &amp; Management'!E12</f>
        <v>0</v>
      </c>
      <c r="L57" s="392">
        <f t="shared" si="14"/>
        <v>0</v>
      </c>
      <c r="M57" s="393">
        <f>K57*$K$11</f>
        <v>0</v>
      </c>
    </row>
    <row r="58" spans="1:14" ht="16.5" customHeight="1">
      <c r="A58" s="643" t="s">
        <v>494</v>
      </c>
      <c r="B58" s="356"/>
      <c r="C58" s="390">
        <f>'Variable &amp; Fixed'!G35</f>
        <v>0</v>
      </c>
      <c r="D58" s="392">
        <f t="shared" si="11"/>
        <v>0</v>
      </c>
      <c r="E58" s="390">
        <f>C58*$C$11</f>
        <v>0</v>
      </c>
      <c r="F58" s="362"/>
      <c r="G58" s="388">
        <f>'Variable &amp; Fixed'!L35</f>
        <v>0</v>
      </c>
      <c r="H58" s="392">
        <f t="shared" si="13"/>
        <v>0</v>
      </c>
      <c r="I58" s="388">
        <f>G58*$G$11</f>
        <v>0</v>
      </c>
      <c r="J58" s="362"/>
      <c r="K58" s="388">
        <f>'Variable &amp; Fixed'!R35</f>
        <v>0</v>
      </c>
      <c r="L58" s="392">
        <f t="shared" si="14"/>
        <v>0</v>
      </c>
      <c r="M58" s="393">
        <f>K58*$K$11</f>
        <v>0</v>
      </c>
    </row>
    <row r="59" spans="1:14" ht="16.5" customHeight="1">
      <c r="A59" s="645" t="s">
        <v>683</v>
      </c>
      <c r="B59" s="397"/>
      <c r="C59" s="415">
        <f>SUM(C54:C58)</f>
        <v>0</v>
      </c>
      <c r="D59" s="416"/>
      <c r="E59" s="415">
        <f>SUM(E54:E58)</f>
        <v>0</v>
      </c>
      <c r="F59" s="401"/>
      <c r="G59" s="415">
        <f>SUM(G54:G58)</f>
        <v>0</v>
      </c>
      <c r="H59" s="416"/>
      <c r="I59" s="415">
        <f>SUM(I54:I58)</f>
        <v>0</v>
      </c>
      <c r="J59" s="401"/>
      <c r="K59" s="415">
        <f>SUM(K54:K58)</f>
        <v>0</v>
      </c>
      <c r="L59" s="416"/>
      <c r="M59" s="417">
        <f>SUM(M54:M58)</f>
        <v>0</v>
      </c>
    </row>
    <row r="60" spans="1:14" ht="16.5" customHeight="1" thickBot="1">
      <c r="A60" s="644" t="s">
        <v>801</v>
      </c>
      <c r="B60" s="397"/>
      <c r="C60" s="418">
        <f>C50+C59</f>
        <v>0</v>
      </c>
      <c r="D60" s="377"/>
      <c r="E60" s="418">
        <f>E50+E59</f>
        <v>0</v>
      </c>
      <c r="F60" s="401"/>
      <c r="G60" s="418">
        <f>G50+G59</f>
        <v>0</v>
      </c>
      <c r="H60" s="377"/>
      <c r="I60" s="418">
        <f>I50+I59</f>
        <v>0</v>
      </c>
      <c r="J60" s="401"/>
      <c r="K60" s="418">
        <f>K50+K59</f>
        <v>0</v>
      </c>
      <c r="L60" s="377"/>
      <c r="M60" s="419">
        <f>M50+M59</f>
        <v>0</v>
      </c>
    </row>
    <row r="61" spans="1:14" ht="16.5" customHeight="1" thickTop="1">
      <c r="A61" s="514" t="s">
        <v>696</v>
      </c>
      <c r="B61" s="420"/>
      <c r="C61" s="421">
        <f>C17-C60</f>
        <v>0</v>
      </c>
      <c r="D61" s="421"/>
      <c r="E61" s="421">
        <f>C61*C11</f>
        <v>0</v>
      </c>
      <c r="F61" s="422"/>
      <c r="G61" s="421">
        <f>G17-G60</f>
        <v>0</v>
      </c>
      <c r="H61" s="421"/>
      <c r="I61" s="421">
        <f>G61*G11</f>
        <v>0</v>
      </c>
      <c r="J61" s="422"/>
      <c r="K61" s="421">
        <f>K17-K60</f>
        <v>0</v>
      </c>
      <c r="L61" s="421"/>
      <c r="M61" s="423">
        <f>K61*K11</f>
        <v>0</v>
      </c>
    </row>
    <row r="62" spans="1:14" ht="16.5" customHeight="1" thickBot="1">
      <c r="A62" s="515" t="s">
        <v>697</v>
      </c>
      <c r="B62" s="424"/>
      <c r="C62" s="425"/>
      <c r="D62" s="426"/>
      <c r="E62" s="427"/>
      <c r="F62" s="428"/>
      <c r="G62" s="425"/>
      <c r="H62" s="426"/>
      <c r="I62" s="427"/>
      <c r="J62" s="428"/>
      <c r="K62" s="425"/>
      <c r="L62" s="426"/>
      <c r="M62" s="429"/>
    </row>
    <row r="63" spans="1:14">
      <c r="A63" s="711" t="s">
        <v>539</v>
      </c>
      <c r="B63" s="712"/>
      <c r="C63" s="712"/>
      <c r="D63" s="712"/>
      <c r="E63" s="712"/>
      <c r="F63" s="712"/>
      <c r="G63" s="712"/>
      <c r="H63" s="712"/>
      <c r="I63" s="712"/>
      <c r="J63" s="712"/>
      <c r="K63" s="712"/>
      <c r="L63" s="712"/>
      <c r="M63" s="713"/>
    </row>
    <row r="64" spans="1:14" ht="16.5" customHeight="1">
      <c r="A64" s="413" t="s">
        <v>686</v>
      </c>
      <c r="B64" s="145"/>
      <c r="C64" s="383" t="s">
        <v>77</v>
      </c>
      <c r="D64" s="384"/>
      <c r="E64" s="385" t="s">
        <v>403</v>
      </c>
      <c r="F64" s="374"/>
      <c r="G64" s="383" t="s">
        <v>77</v>
      </c>
      <c r="H64" s="384"/>
      <c r="I64" s="385" t="s">
        <v>403</v>
      </c>
      <c r="J64" s="374"/>
      <c r="K64" s="383" t="s">
        <v>77</v>
      </c>
      <c r="L64" s="384"/>
      <c r="M64" s="386" t="s">
        <v>403</v>
      </c>
    </row>
    <row r="65" spans="1:14" ht="16.5" customHeight="1">
      <c r="A65" s="355" t="s">
        <v>401</v>
      </c>
      <c r="B65" s="387"/>
      <c r="C65" s="414">
        <f>'Capital &amp; Management'!C13</f>
        <v>0</v>
      </c>
      <c r="D65" s="391">
        <f t="shared" ref="D65:D68" si="15">C65</f>
        <v>0</v>
      </c>
      <c r="E65" s="414">
        <f>C65*$C$11</f>
        <v>0</v>
      </c>
      <c r="F65" s="362"/>
      <c r="G65" s="414">
        <f>'Capital &amp; Management'!D13</f>
        <v>0</v>
      </c>
      <c r="H65" s="392">
        <f t="shared" ref="H65:H68" si="16">G65</f>
        <v>0</v>
      </c>
      <c r="I65" s="414">
        <f>G65*$G$11</f>
        <v>0</v>
      </c>
      <c r="J65" s="362"/>
      <c r="K65" s="414">
        <f>'Capital &amp; Management'!E13</f>
        <v>0</v>
      </c>
      <c r="L65" s="392">
        <f t="shared" ref="L65:L68" si="17">K65</f>
        <v>0</v>
      </c>
      <c r="M65" s="393">
        <f>K65*$K$11</f>
        <v>0</v>
      </c>
      <c r="N65" s="160"/>
    </row>
    <row r="66" spans="1:14" ht="16.5" customHeight="1">
      <c r="A66" s="355" t="s">
        <v>684</v>
      </c>
      <c r="B66" s="387"/>
      <c r="C66" s="388">
        <f>'Capital &amp; Management'!C14</f>
        <v>0</v>
      </c>
      <c r="D66" s="391">
        <f t="shared" si="15"/>
        <v>0</v>
      </c>
      <c r="E66" s="388">
        <f>C66*$C$11</f>
        <v>0</v>
      </c>
      <c r="F66" s="362"/>
      <c r="G66" s="388">
        <f>'Capital &amp; Management'!D14</f>
        <v>0</v>
      </c>
      <c r="H66" s="392">
        <f t="shared" si="16"/>
        <v>0</v>
      </c>
      <c r="I66" s="388">
        <f>G66*$G$11</f>
        <v>0</v>
      </c>
      <c r="J66" s="362"/>
      <c r="K66" s="388">
        <f>'Capital &amp; Management'!E14</f>
        <v>0</v>
      </c>
      <c r="L66" s="392">
        <f t="shared" si="17"/>
        <v>0</v>
      </c>
      <c r="M66" s="393">
        <f>K66*$K$11</f>
        <v>0</v>
      </c>
      <c r="N66" s="160"/>
    </row>
    <row r="67" spans="1:14" ht="16.5" customHeight="1">
      <c r="A67" s="355" t="s">
        <v>685</v>
      </c>
      <c r="B67" s="356"/>
      <c r="C67" s="388">
        <f>'Loans &amp; Financing'!T11+'Loans &amp; Financing'!T12</f>
        <v>0</v>
      </c>
      <c r="D67" s="391">
        <f t="shared" si="15"/>
        <v>0</v>
      </c>
      <c r="E67" s="388">
        <f>C67*$C$11</f>
        <v>0</v>
      </c>
      <c r="F67" s="362"/>
      <c r="G67" s="388">
        <f>'Loans &amp; Financing'!U11+'Loans &amp; Financing'!U12</f>
        <v>0</v>
      </c>
      <c r="H67" s="392">
        <f t="shared" si="16"/>
        <v>0</v>
      </c>
      <c r="I67" s="388">
        <f>G67*$G$11</f>
        <v>0</v>
      </c>
      <c r="J67" s="362"/>
      <c r="K67" s="388">
        <f>'Loans &amp; Financing'!V11+'Loans &amp; Financing'!V12</f>
        <v>0</v>
      </c>
      <c r="L67" s="392">
        <f t="shared" si="17"/>
        <v>0</v>
      </c>
      <c r="M67" s="393">
        <f>K67*$K$11</f>
        <v>0</v>
      </c>
      <c r="N67" s="160"/>
    </row>
    <row r="68" spans="1:14" ht="16.5" customHeight="1">
      <c r="A68" s="355" t="s">
        <v>402</v>
      </c>
      <c r="B68" s="356"/>
      <c r="C68" s="388">
        <f>'Loans &amp; Financing'!T14+'Loans &amp; Financing'!T15</f>
        <v>0</v>
      </c>
      <c r="D68" s="391">
        <f t="shared" si="15"/>
        <v>0</v>
      </c>
      <c r="E68" s="388">
        <f>C68*$C$11</f>
        <v>0</v>
      </c>
      <c r="F68" s="362"/>
      <c r="G68" s="388">
        <f>'Loans &amp; Financing'!U14+'Loans &amp; Financing'!U15</f>
        <v>0</v>
      </c>
      <c r="H68" s="392">
        <f t="shared" si="16"/>
        <v>0</v>
      </c>
      <c r="I68" s="388">
        <f>G68*$G$11</f>
        <v>0</v>
      </c>
      <c r="J68" s="362"/>
      <c r="K68" s="388">
        <f>'Loans &amp; Financing'!V14+'Loans &amp; Financing'!V15</f>
        <v>0</v>
      </c>
      <c r="L68" s="392">
        <f t="shared" si="17"/>
        <v>0</v>
      </c>
      <c r="M68" s="393">
        <f>K68*$K$11</f>
        <v>0</v>
      </c>
    </row>
    <row r="69" spans="1:14" ht="16.5" customHeight="1">
      <c r="A69" s="430" t="s">
        <v>687</v>
      </c>
      <c r="B69" s="397"/>
      <c r="C69" s="431">
        <f>SUM(C65:C68)</f>
        <v>0</v>
      </c>
      <c r="D69" s="432"/>
      <c r="E69" s="431">
        <f>SUM(E65:E68)</f>
        <v>0</v>
      </c>
      <c r="F69" s="401"/>
      <c r="G69" s="431">
        <f>SUM(G65:G68)</f>
        <v>0</v>
      </c>
      <c r="H69" s="432"/>
      <c r="I69" s="431">
        <f>SUM(I65:I68)</f>
        <v>0</v>
      </c>
      <c r="J69" s="401"/>
      <c r="K69" s="431">
        <f>SUM(K65:K68)</f>
        <v>0</v>
      </c>
      <c r="L69" s="432"/>
      <c r="M69" s="433">
        <f>SUM(M65:M68)</f>
        <v>0</v>
      </c>
    </row>
    <row r="70" spans="1:14" ht="16.5" customHeight="1" thickBot="1">
      <c r="A70" s="434" t="s">
        <v>688</v>
      </c>
      <c r="B70" s="397"/>
      <c r="C70" s="418">
        <f>C69+C60</f>
        <v>0</v>
      </c>
      <c r="D70" s="435"/>
      <c r="E70" s="418">
        <f>C70*C11</f>
        <v>0</v>
      </c>
      <c r="F70" s="432"/>
      <c r="G70" s="418">
        <f>G69+G60</f>
        <v>0</v>
      </c>
      <c r="H70" s="435"/>
      <c r="I70" s="418">
        <f>G70*G11</f>
        <v>0</v>
      </c>
      <c r="J70" s="432"/>
      <c r="K70" s="418">
        <f>K69+K60</f>
        <v>0</v>
      </c>
      <c r="L70" s="435"/>
      <c r="M70" s="419">
        <f>K70*K11</f>
        <v>0</v>
      </c>
    </row>
    <row r="71" spans="1:14" ht="16.5" customHeight="1" thickTop="1">
      <c r="A71" s="516" t="s">
        <v>549</v>
      </c>
      <c r="B71" s="436"/>
      <c r="C71" s="421">
        <f>(C17-C70)+C57</f>
        <v>0</v>
      </c>
      <c r="D71" s="421"/>
      <c r="E71" s="421">
        <f>C71*C11</f>
        <v>0</v>
      </c>
      <c r="F71" s="437"/>
      <c r="G71" s="421">
        <f>(G17-G70)+G57</f>
        <v>0</v>
      </c>
      <c r="H71" s="421"/>
      <c r="I71" s="421">
        <f>G71*G11</f>
        <v>0</v>
      </c>
      <c r="J71" s="437"/>
      <c r="K71" s="421">
        <f>(K17-K70)+K57</f>
        <v>0</v>
      </c>
      <c r="L71" s="421"/>
      <c r="M71" s="423">
        <f>K71*K11</f>
        <v>0</v>
      </c>
    </row>
    <row r="72" spans="1:14" ht="16.5" customHeight="1" thickBot="1">
      <c r="A72" s="517" t="s">
        <v>698</v>
      </c>
      <c r="B72" s="536"/>
      <c r="C72" s="537"/>
      <c r="D72" s="538"/>
      <c r="E72" s="539"/>
      <c r="F72" s="538"/>
      <c r="G72" s="537"/>
      <c r="H72" s="538"/>
      <c r="I72" s="539"/>
      <c r="J72" s="538"/>
      <c r="K72" s="537"/>
      <c r="L72" s="538"/>
      <c r="M72" s="540"/>
    </row>
    <row r="73" spans="1:14" ht="16.5" hidden="1" customHeight="1">
      <c r="A73" s="714" t="s">
        <v>538</v>
      </c>
      <c r="B73" s="715"/>
      <c r="C73" s="715"/>
      <c r="D73" s="715"/>
      <c r="E73" s="715"/>
      <c r="F73" s="715"/>
      <c r="G73" s="715"/>
      <c r="H73" s="715"/>
      <c r="I73" s="715"/>
      <c r="J73" s="715"/>
      <c r="K73" s="715"/>
      <c r="L73" s="715"/>
      <c r="M73" s="716"/>
    </row>
    <row r="74" spans="1:14" ht="16.5" hidden="1" customHeight="1">
      <c r="A74" s="413" t="s">
        <v>514</v>
      </c>
      <c r="B74" s="145"/>
      <c r="C74" s="383" t="s">
        <v>77</v>
      </c>
      <c r="D74" s="384"/>
      <c r="E74" s="385" t="s">
        <v>403</v>
      </c>
      <c r="F74" s="374"/>
      <c r="G74" s="383" t="s">
        <v>77</v>
      </c>
      <c r="H74" s="384"/>
      <c r="I74" s="385" t="s">
        <v>403</v>
      </c>
      <c r="J74" s="374"/>
      <c r="K74" s="383" t="s">
        <v>77</v>
      </c>
      <c r="L74" s="384"/>
      <c r="M74" s="386" t="s">
        <v>403</v>
      </c>
    </row>
    <row r="75" spans="1:14" ht="16.5" hidden="1" customHeight="1">
      <c r="A75" s="355" t="s">
        <v>506</v>
      </c>
      <c r="B75" s="387"/>
      <c r="C75" s="414">
        <f>'Capital &amp; Management'!C26</f>
        <v>0</v>
      </c>
      <c r="D75" s="391">
        <f t="shared" ref="D75:D76" si="18">C75</f>
        <v>0</v>
      </c>
      <c r="E75" s="414">
        <f>C75*$C$11</f>
        <v>0</v>
      </c>
      <c r="F75" s="362"/>
      <c r="G75" s="414">
        <f>'Capital &amp; Management'!D26</f>
        <v>0</v>
      </c>
      <c r="H75" s="392">
        <f t="shared" ref="H75:H76" si="19">G75</f>
        <v>0</v>
      </c>
      <c r="I75" s="414">
        <f>G75*$G$11</f>
        <v>0</v>
      </c>
      <c r="J75" s="362"/>
      <c r="K75" s="414">
        <f>'Capital &amp; Management'!E26</f>
        <v>0</v>
      </c>
      <c r="L75" s="392">
        <f t="shared" ref="L75:L76" si="20">K75</f>
        <v>0</v>
      </c>
      <c r="M75" s="393">
        <f>K75*$K$11</f>
        <v>0</v>
      </c>
    </row>
    <row r="76" spans="1:14" ht="16.5" hidden="1" customHeight="1">
      <c r="A76" s="355" t="s">
        <v>513</v>
      </c>
      <c r="B76" s="387"/>
      <c r="C76" s="388">
        <f>'Capital &amp; Management'!C35</f>
        <v>0</v>
      </c>
      <c r="D76" s="391">
        <f t="shared" si="18"/>
        <v>0</v>
      </c>
      <c r="E76" s="388">
        <f>C76*$C$11</f>
        <v>0</v>
      </c>
      <c r="F76" s="362"/>
      <c r="G76" s="388">
        <f>'Capital &amp; Management'!D35</f>
        <v>0</v>
      </c>
      <c r="H76" s="392">
        <f t="shared" si="19"/>
        <v>0</v>
      </c>
      <c r="I76" s="388">
        <f>G76*$G$11</f>
        <v>0</v>
      </c>
      <c r="J76" s="362"/>
      <c r="K76" s="388">
        <f>'Capital &amp; Management'!E35</f>
        <v>0</v>
      </c>
      <c r="L76" s="392">
        <f t="shared" si="20"/>
        <v>0</v>
      </c>
      <c r="M76" s="393">
        <f>K76*$K$11</f>
        <v>0</v>
      </c>
    </row>
    <row r="77" spans="1:14" ht="16.5" hidden="1" customHeight="1">
      <c r="A77" s="430" t="s">
        <v>515</v>
      </c>
      <c r="B77" s="397"/>
      <c r="C77" s="415">
        <f>SUM(C75:C76)</f>
        <v>0</v>
      </c>
      <c r="D77" s="438"/>
      <c r="E77" s="415">
        <f>SUM(E75:E76)</f>
        <v>0</v>
      </c>
      <c r="F77" s="401"/>
      <c r="G77" s="415">
        <f>SUM(G75:G76)</f>
        <v>0</v>
      </c>
      <c r="H77" s="438"/>
      <c r="I77" s="415">
        <f>SUM(I75:I76)</f>
        <v>0</v>
      </c>
      <c r="J77" s="401"/>
      <c r="K77" s="415">
        <f>SUM(K75:K76)</f>
        <v>0</v>
      </c>
      <c r="L77" s="438"/>
      <c r="M77" s="439">
        <f>SUM(M75:M76)</f>
        <v>0</v>
      </c>
    </row>
    <row r="78" spans="1:14" ht="16.5" hidden="1" customHeight="1" thickBot="1">
      <c r="A78" s="434" t="s">
        <v>516</v>
      </c>
      <c r="B78" s="397"/>
      <c r="C78" s="418">
        <f>C77+C70</f>
        <v>0</v>
      </c>
      <c r="D78" s="435"/>
      <c r="E78" s="418">
        <f>C78*C11</f>
        <v>0</v>
      </c>
      <c r="F78" s="401"/>
      <c r="G78" s="418">
        <f>G77+G70</f>
        <v>0</v>
      </c>
      <c r="H78" s="435"/>
      <c r="I78" s="418">
        <f>G78*G11</f>
        <v>0</v>
      </c>
      <c r="J78" s="401"/>
      <c r="K78" s="418">
        <f>K77+K70</f>
        <v>0</v>
      </c>
      <c r="L78" s="377"/>
      <c r="M78" s="404">
        <f>K78*K11</f>
        <v>0</v>
      </c>
    </row>
    <row r="79" spans="1:14" ht="16.5" hidden="1" customHeight="1" thickTop="1" thickBot="1">
      <c r="A79" s="440" t="s">
        <v>649</v>
      </c>
      <c r="B79" s="441"/>
      <c r="C79" s="442">
        <f>(C17-C78)+C57</f>
        <v>0</v>
      </c>
      <c r="D79" s="443"/>
      <c r="E79" s="442">
        <f>C79*C11</f>
        <v>0</v>
      </c>
      <c r="F79" s="444"/>
      <c r="G79" s="442">
        <f>(G17-G78)+G57</f>
        <v>0</v>
      </c>
      <c r="H79" s="443"/>
      <c r="I79" s="442">
        <f>G79*G11</f>
        <v>0</v>
      </c>
      <c r="J79" s="444"/>
      <c r="K79" s="442">
        <f>(K17-K78)+K57</f>
        <v>0</v>
      </c>
      <c r="L79" s="443"/>
      <c r="M79" s="445">
        <f>K79*K11</f>
        <v>0</v>
      </c>
    </row>
    <row r="80" spans="1:14" ht="16.5" hidden="1" customHeight="1" thickTop="1">
      <c r="A80" s="147"/>
      <c r="B80" s="145"/>
      <c r="C80" s="446"/>
      <c r="D80" s="447"/>
      <c r="E80" s="448"/>
      <c r="F80" s="362"/>
      <c r="G80" s="449"/>
      <c r="H80" s="450"/>
      <c r="I80" s="448"/>
      <c r="J80" s="362"/>
      <c r="K80" s="449"/>
      <c r="L80" s="450"/>
      <c r="M80" s="451"/>
    </row>
    <row r="81" spans="1:13" ht="16.5" hidden="1" customHeight="1" thickBot="1">
      <c r="A81" s="147"/>
      <c r="B81" s="145"/>
      <c r="C81" s="452"/>
      <c r="D81" s="453"/>
      <c r="E81" s="363"/>
      <c r="F81" s="362"/>
      <c r="G81" s="379"/>
      <c r="H81" s="367"/>
      <c r="I81" s="363"/>
      <c r="J81" s="362"/>
      <c r="K81" s="379"/>
      <c r="L81" s="454"/>
      <c r="M81" s="455"/>
    </row>
    <row r="82" spans="1:13" ht="16.5" customHeight="1">
      <c r="A82" s="711" t="s">
        <v>336</v>
      </c>
      <c r="B82" s="712"/>
      <c r="C82" s="712"/>
      <c r="D82" s="712"/>
      <c r="E82" s="712"/>
      <c r="F82" s="712"/>
      <c r="G82" s="712"/>
      <c r="H82" s="712"/>
      <c r="I82" s="712"/>
      <c r="J82" s="712"/>
      <c r="K82" s="712"/>
      <c r="L82" s="712"/>
      <c r="M82" s="713"/>
    </row>
    <row r="83" spans="1:13" ht="16.5" customHeight="1">
      <c r="A83" s="456"/>
      <c r="B83" s="356"/>
      <c r="C83" s="457"/>
      <c r="D83" s="739"/>
      <c r="E83" s="740"/>
      <c r="F83" s="356"/>
      <c r="G83" s="457"/>
      <c r="H83" s="739"/>
      <c r="I83" s="740"/>
      <c r="J83" s="356"/>
      <c r="K83" s="457"/>
      <c r="L83" s="739"/>
      <c r="M83" s="741"/>
    </row>
    <row r="84" spans="1:13" ht="16.5" customHeight="1">
      <c r="A84" s="413" t="s">
        <v>334</v>
      </c>
      <c r="B84" s="145"/>
      <c r="C84" s="458" t="e">
        <f>(C60-C48-C57-C67)/C17</f>
        <v>#DIV/0!</v>
      </c>
      <c r="D84" s="735" t="s">
        <v>339</v>
      </c>
      <c r="E84" s="730"/>
      <c r="F84" s="459"/>
      <c r="G84" s="458" t="e">
        <f>(G60-G48-G57-G67)/G17</f>
        <v>#DIV/0!</v>
      </c>
      <c r="H84" s="735" t="s">
        <v>339</v>
      </c>
      <c r="I84" s="730"/>
      <c r="J84" s="459"/>
      <c r="K84" s="458" t="e">
        <f>(K60-K48-K57-K67)/K17</f>
        <v>#DIV/0!</v>
      </c>
      <c r="L84" s="735" t="s">
        <v>339</v>
      </c>
      <c r="M84" s="738"/>
    </row>
    <row r="85" spans="1:13" ht="16.5" customHeight="1">
      <c r="A85" s="743" t="s">
        <v>655</v>
      </c>
      <c r="B85" s="410"/>
      <c r="C85" s="460"/>
      <c r="D85" s="731" t="s">
        <v>338</v>
      </c>
      <c r="E85" s="732"/>
      <c r="F85" s="461"/>
      <c r="G85" s="460"/>
      <c r="H85" s="731" t="s">
        <v>338</v>
      </c>
      <c r="I85" s="732"/>
      <c r="J85" s="461"/>
      <c r="K85" s="460"/>
      <c r="L85" s="731" t="s">
        <v>338</v>
      </c>
      <c r="M85" s="736"/>
    </row>
    <row r="86" spans="1:13" ht="16.5" customHeight="1">
      <c r="A86" s="744"/>
      <c r="B86" s="410"/>
      <c r="C86" s="462"/>
      <c r="D86" s="733" t="s">
        <v>337</v>
      </c>
      <c r="E86" s="734"/>
      <c r="F86" s="461"/>
      <c r="G86" s="463"/>
      <c r="H86" s="733" t="s">
        <v>337</v>
      </c>
      <c r="I86" s="734"/>
      <c r="J86" s="461"/>
      <c r="K86" s="463"/>
      <c r="L86" s="733" t="s">
        <v>337</v>
      </c>
      <c r="M86" s="737"/>
    </row>
    <row r="87" spans="1:13" ht="16.5" customHeight="1">
      <c r="A87" s="221"/>
      <c r="B87" s="410"/>
      <c r="C87" s="462"/>
      <c r="D87" s="459"/>
      <c r="E87" s="464"/>
      <c r="F87" s="461"/>
      <c r="G87" s="463"/>
      <c r="H87" s="459"/>
      <c r="I87" s="464"/>
      <c r="J87" s="461"/>
      <c r="K87" s="463"/>
      <c r="L87" s="459"/>
      <c r="M87" s="465"/>
    </row>
    <row r="88" spans="1:13" ht="16.5" customHeight="1">
      <c r="A88" s="413" t="s">
        <v>540</v>
      </c>
      <c r="B88" s="145"/>
      <c r="C88" s="458" t="e">
        <f>C57/C17</f>
        <v>#DIV/0!</v>
      </c>
      <c r="D88" s="729" t="s">
        <v>545</v>
      </c>
      <c r="E88" s="730"/>
      <c r="F88" s="459"/>
      <c r="G88" s="458" t="e">
        <f>G57/G17</f>
        <v>#DIV/0!</v>
      </c>
      <c r="H88" s="729" t="s">
        <v>545</v>
      </c>
      <c r="I88" s="730"/>
      <c r="J88" s="459"/>
      <c r="K88" s="458" t="e">
        <f>K57/K17</f>
        <v>#DIV/0!</v>
      </c>
      <c r="L88" s="729" t="s">
        <v>545</v>
      </c>
      <c r="M88" s="730"/>
    </row>
    <row r="89" spans="1:13" ht="16.5" customHeight="1">
      <c r="A89" s="743" t="s">
        <v>656</v>
      </c>
      <c r="B89" s="410"/>
      <c r="C89" s="460"/>
      <c r="D89" s="731" t="s">
        <v>544</v>
      </c>
      <c r="E89" s="732"/>
      <c r="F89" s="461"/>
      <c r="G89" s="460"/>
      <c r="H89" s="731" t="s">
        <v>544</v>
      </c>
      <c r="I89" s="732"/>
      <c r="J89" s="461"/>
      <c r="K89" s="460"/>
      <c r="L89" s="731" t="s">
        <v>544</v>
      </c>
      <c r="M89" s="732"/>
    </row>
    <row r="90" spans="1:13" ht="16.5" customHeight="1">
      <c r="A90" s="744"/>
      <c r="B90" s="410"/>
      <c r="C90" s="462"/>
      <c r="D90" s="733" t="s">
        <v>543</v>
      </c>
      <c r="E90" s="734"/>
      <c r="F90" s="461"/>
      <c r="G90" s="463"/>
      <c r="H90" s="733" t="s">
        <v>543</v>
      </c>
      <c r="I90" s="734"/>
      <c r="J90" s="461"/>
      <c r="K90" s="463"/>
      <c r="L90" s="733" t="s">
        <v>543</v>
      </c>
      <c r="M90" s="734"/>
    </row>
    <row r="91" spans="1:13" ht="16.5" customHeight="1">
      <c r="A91" s="221"/>
      <c r="B91" s="410"/>
      <c r="C91" s="462"/>
      <c r="D91" s="459"/>
      <c r="E91" s="464"/>
      <c r="F91" s="461"/>
      <c r="G91" s="463"/>
      <c r="H91" s="459"/>
      <c r="I91" s="464"/>
      <c r="J91" s="461"/>
      <c r="K91" s="463"/>
      <c r="L91" s="459"/>
      <c r="M91" s="465"/>
    </row>
    <row r="92" spans="1:13" ht="16.5" customHeight="1">
      <c r="A92" s="413" t="s">
        <v>541</v>
      </c>
      <c r="B92" s="145"/>
      <c r="C92" s="458" t="e">
        <f>(C48+C67)/C17</f>
        <v>#DIV/0!</v>
      </c>
      <c r="D92" s="729" t="s">
        <v>545</v>
      </c>
      <c r="E92" s="730"/>
      <c r="F92" s="459"/>
      <c r="G92" s="458" t="e">
        <f>(G48+G67)/G17</f>
        <v>#DIV/0!</v>
      </c>
      <c r="H92" s="729" t="s">
        <v>545</v>
      </c>
      <c r="I92" s="730"/>
      <c r="J92" s="459"/>
      <c r="K92" s="458" t="e">
        <f>(K48+K67)/K17</f>
        <v>#DIV/0!</v>
      </c>
      <c r="L92" s="729" t="s">
        <v>545</v>
      </c>
      <c r="M92" s="730"/>
    </row>
    <row r="93" spans="1:13" ht="16.5" customHeight="1">
      <c r="A93" s="743" t="s">
        <v>657</v>
      </c>
      <c r="B93" s="410"/>
      <c r="C93" s="460"/>
      <c r="D93" s="731" t="s">
        <v>544</v>
      </c>
      <c r="E93" s="732"/>
      <c r="F93" s="461"/>
      <c r="G93" s="460"/>
      <c r="H93" s="731" t="s">
        <v>544</v>
      </c>
      <c r="I93" s="732"/>
      <c r="J93" s="461"/>
      <c r="K93" s="460"/>
      <c r="L93" s="731" t="s">
        <v>544</v>
      </c>
      <c r="M93" s="732"/>
    </row>
    <row r="94" spans="1:13" ht="16.5" customHeight="1">
      <c r="A94" s="744"/>
      <c r="B94" s="410"/>
      <c r="C94" s="462"/>
      <c r="D94" s="733" t="s">
        <v>543</v>
      </c>
      <c r="E94" s="734"/>
      <c r="F94" s="461"/>
      <c r="G94" s="463"/>
      <c r="H94" s="733" t="s">
        <v>543</v>
      </c>
      <c r="I94" s="734"/>
      <c r="J94" s="461"/>
      <c r="K94" s="463"/>
      <c r="L94" s="733" t="s">
        <v>543</v>
      </c>
      <c r="M94" s="734"/>
    </row>
    <row r="95" spans="1:13" ht="16.5" customHeight="1">
      <c r="A95" s="221"/>
      <c r="B95" s="410"/>
      <c r="C95" s="462"/>
      <c r="D95" s="459"/>
      <c r="E95" s="464"/>
      <c r="F95" s="461"/>
      <c r="G95" s="463"/>
      <c r="H95" s="459"/>
      <c r="I95" s="464"/>
      <c r="J95" s="461"/>
      <c r="K95" s="463"/>
      <c r="L95" s="459"/>
      <c r="M95" s="465"/>
    </row>
    <row r="96" spans="1:13" ht="16.5" customHeight="1">
      <c r="A96" s="413" t="s">
        <v>542</v>
      </c>
      <c r="B96" s="145"/>
      <c r="C96" s="458" t="e">
        <f>C61/C17</f>
        <v>#DIV/0!</v>
      </c>
      <c r="D96" s="729" t="s">
        <v>546</v>
      </c>
      <c r="E96" s="730"/>
      <c r="F96" s="459"/>
      <c r="G96" s="458" t="e">
        <f>G61/G17</f>
        <v>#DIV/0!</v>
      </c>
      <c r="H96" s="729" t="s">
        <v>546</v>
      </c>
      <c r="I96" s="730"/>
      <c r="J96" s="459"/>
      <c r="K96" s="458" t="e">
        <f>K61/K17</f>
        <v>#DIV/0!</v>
      </c>
      <c r="L96" s="729" t="s">
        <v>546</v>
      </c>
      <c r="M96" s="730"/>
    </row>
    <row r="97" spans="1:13" ht="16.5" customHeight="1">
      <c r="A97" s="743" t="s">
        <v>658</v>
      </c>
      <c r="B97" s="410"/>
      <c r="C97" s="460"/>
      <c r="D97" s="731" t="s">
        <v>547</v>
      </c>
      <c r="E97" s="732"/>
      <c r="F97" s="461"/>
      <c r="G97" s="460"/>
      <c r="H97" s="731" t="s">
        <v>547</v>
      </c>
      <c r="I97" s="732"/>
      <c r="J97" s="461"/>
      <c r="K97" s="460"/>
      <c r="L97" s="731" t="s">
        <v>547</v>
      </c>
      <c r="M97" s="732"/>
    </row>
    <row r="98" spans="1:13" ht="16.5" customHeight="1">
      <c r="A98" s="744"/>
      <c r="B98" s="410"/>
      <c r="C98" s="462"/>
      <c r="D98" s="733" t="s">
        <v>548</v>
      </c>
      <c r="E98" s="734"/>
      <c r="F98" s="461"/>
      <c r="G98" s="463"/>
      <c r="H98" s="733" t="s">
        <v>548</v>
      </c>
      <c r="I98" s="734"/>
      <c r="J98" s="461"/>
      <c r="K98" s="463"/>
      <c r="L98" s="733" t="s">
        <v>548</v>
      </c>
      <c r="M98" s="734"/>
    </row>
    <row r="99" spans="1:13" ht="16.5" customHeight="1" thickBot="1">
      <c r="A99" s="82" t="s">
        <v>553</v>
      </c>
      <c r="B99" s="145"/>
      <c r="C99" s="462"/>
      <c r="D99" s="459"/>
      <c r="E99" s="464"/>
      <c r="F99" s="461"/>
      <c r="G99" s="463"/>
      <c r="H99" s="459"/>
      <c r="I99" s="464"/>
      <c r="J99" s="461"/>
      <c r="K99" s="463"/>
      <c r="L99" s="459"/>
      <c r="M99" s="465"/>
    </row>
    <row r="100" spans="1:13" ht="16.5" customHeight="1">
      <c r="A100" s="711" t="s">
        <v>480</v>
      </c>
      <c r="B100" s="712"/>
      <c r="C100" s="712"/>
      <c r="D100" s="712"/>
      <c r="E100" s="712"/>
      <c r="F100" s="712"/>
      <c r="G100" s="712"/>
      <c r="H100" s="712"/>
      <c r="I100" s="712"/>
      <c r="J100" s="712"/>
      <c r="K100" s="712"/>
      <c r="L100" s="712"/>
      <c r="M100" s="713"/>
    </row>
    <row r="101" spans="1:13" ht="16.5" customHeight="1">
      <c r="A101" s="221"/>
      <c r="B101" s="145"/>
      <c r="C101" s="462"/>
      <c r="D101" s="459"/>
      <c r="E101" s="464"/>
      <c r="F101" s="461"/>
      <c r="G101" s="463"/>
      <c r="H101" s="459"/>
      <c r="I101" s="464"/>
      <c r="J101" s="461"/>
      <c r="K101" s="463"/>
      <c r="L101" s="459"/>
      <c r="M101" s="465"/>
    </row>
    <row r="102" spans="1:13" ht="16.5" customHeight="1">
      <c r="A102" s="413" t="s">
        <v>802</v>
      </c>
      <c r="B102" s="145"/>
      <c r="C102" s="462"/>
      <c r="D102" s="459"/>
      <c r="E102" s="464"/>
      <c r="F102" s="461"/>
      <c r="G102" s="463"/>
      <c r="H102" s="459"/>
      <c r="I102" s="464"/>
      <c r="J102" s="461"/>
      <c r="K102" s="463"/>
      <c r="L102" s="459"/>
      <c r="M102" s="465"/>
    </row>
    <row r="103" spans="1:13" ht="16.5" customHeight="1">
      <c r="A103" s="466" t="s">
        <v>477</v>
      </c>
      <c r="B103" s="356"/>
      <c r="C103" s="467" t="e">
        <f>(C60)/C10</f>
        <v>#DIV/0!</v>
      </c>
      <c r="D103" s="468" t="s">
        <v>557</v>
      </c>
      <c r="E103" s="469"/>
      <c r="F103" s="470"/>
      <c r="G103" s="507" t="e">
        <f>(G60)/G10</f>
        <v>#DIV/0!</v>
      </c>
      <c r="H103" s="468" t="s">
        <v>557</v>
      </c>
      <c r="I103" s="469"/>
      <c r="J103" s="470"/>
      <c r="K103" s="507" t="e">
        <f>(K60)/K10</f>
        <v>#DIV/0!</v>
      </c>
      <c r="L103" s="468" t="s">
        <v>557</v>
      </c>
      <c r="M103" s="471"/>
    </row>
    <row r="104" spans="1:13" ht="16.5" customHeight="1">
      <c r="A104" s="466" t="s">
        <v>478</v>
      </c>
      <c r="B104" s="356"/>
      <c r="C104" s="472" t="e">
        <f>(C60)/C9</f>
        <v>#DIV/0!</v>
      </c>
      <c r="D104" s="473" t="s">
        <v>16</v>
      </c>
      <c r="E104" s="474"/>
      <c r="F104" s="475"/>
      <c r="G104" s="472" t="e">
        <f>(G60)/G9</f>
        <v>#DIV/0!</v>
      </c>
      <c r="H104" s="473" t="s">
        <v>16</v>
      </c>
      <c r="I104" s="474"/>
      <c r="J104" s="475"/>
      <c r="K104" s="472" t="e">
        <f>(K60)/K9</f>
        <v>#DIV/0!</v>
      </c>
      <c r="L104" s="473" t="s">
        <v>16</v>
      </c>
      <c r="M104" s="476"/>
    </row>
    <row r="105" spans="1:13" ht="8.1" customHeight="1">
      <c r="A105" s="456"/>
      <c r="B105" s="356"/>
      <c r="C105" s="477"/>
      <c r="D105" s="475"/>
      <c r="E105" s="474"/>
      <c r="F105" s="475"/>
      <c r="G105" s="477"/>
      <c r="H105" s="475"/>
      <c r="I105" s="474"/>
      <c r="J105" s="475"/>
      <c r="K105" s="477"/>
      <c r="L105" s="475"/>
      <c r="M105" s="476"/>
    </row>
    <row r="106" spans="1:13" ht="16.5" customHeight="1">
      <c r="A106" s="413" t="s">
        <v>803</v>
      </c>
      <c r="B106" s="478"/>
      <c r="C106" s="479"/>
      <c r="D106" s="480"/>
      <c r="E106" s="481"/>
      <c r="F106" s="480"/>
      <c r="G106" s="479"/>
      <c r="H106" s="480"/>
      <c r="I106" s="481"/>
      <c r="J106" s="480"/>
      <c r="K106" s="479"/>
      <c r="L106" s="480"/>
      <c r="M106" s="482"/>
    </row>
    <row r="107" spans="1:13" ht="16.5" customHeight="1">
      <c r="A107" s="466" t="s">
        <v>477</v>
      </c>
      <c r="B107" s="356"/>
      <c r="C107" s="467" t="e">
        <f>(C70-C57)/C10</f>
        <v>#DIV/0!</v>
      </c>
      <c r="D107" s="468" t="s">
        <v>557</v>
      </c>
      <c r="E107" s="474"/>
      <c r="F107" s="475"/>
      <c r="G107" s="467" t="e">
        <f>(G70-G57)/G10</f>
        <v>#DIV/0!</v>
      </c>
      <c r="H107" s="468" t="s">
        <v>557</v>
      </c>
      <c r="I107" s="474"/>
      <c r="J107" s="475"/>
      <c r="K107" s="467" t="e">
        <f>(K70-K57)/K10</f>
        <v>#DIV/0!</v>
      </c>
      <c r="L107" s="468" t="s">
        <v>557</v>
      </c>
      <c r="M107" s="476"/>
    </row>
    <row r="108" spans="1:13" ht="16.5" customHeight="1">
      <c r="A108" s="466" t="s">
        <v>478</v>
      </c>
      <c r="B108" s="356"/>
      <c r="C108" s="472" t="e">
        <f>(C70-C57)/C9</f>
        <v>#DIV/0!</v>
      </c>
      <c r="D108" s="473" t="s">
        <v>16</v>
      </c>
      <c r="E108" s="474"/>
      <c r="F108" s="475"/>
      <c r="G108" s="472" t="e">
        <f>(G70-G57)/G9</f>
        <v>#DIV/0!</v>
      </c>
      <c r="H108" s="473" t="s">
        <v>16</v>
      </c>
      <c r="I108" s="474"/>
      <c r="J108" s="475"/>
      <c r="K108" s="472" t="e">
        <f>(K70-K57)/K9</f>
        <v>#DIV/0!</v>
      </c>
      <c r="L108" s="473" t="s">
        <v>16</v>
      </c>
      <c r="M108" s="476"/>
    </row>
    <row r="109" spans="1:13" ht="8.1" customHeight="1">
      <c r="A109" s="456"/>
      <c r="B109" s="356"/>
      <c r="C109" s="477"/>
      <c r="D109" s="475"/>
      <c r="E109" s="474"/>
      <c r="F109" s="475"/>
      <c r="G109" s="477"/>
      <c r="H109" s="475"/>
      <c r="I109" s="474"/>
      <c r="J109" s="475"/>
      <c r="K109" s="477"/>
      <c r="L109" s="475"/>
      <c r="M109" s="476"/>
    </row>
    <row r="110" spans="1:13" ht="16.5" customHeight="1">
      <c r="A110" s="413" t="s">
        <v>804</v>
      </c>
      <c r="B110" s="478"/>
      <c r="C110" s="479"/>
      <c r="D110" s="480"/>
      <c r="E110" s="481"/>
      <c r="F110" s="480"/>
      <c r="G110" s="479"/>
      <c r="H110" s="480"/>
      <c r="I110" s="481"/>
      <c r="J110" s="480"/>
      <c r="K110" s="479"/>
      <c r="L110" s="480"/>
      <c r="M110" s="482"/>
    </row>
    <row r="111" spans="1:13" ht="16.5" customHeight="1">
      <c r="A111" s="466" t="s">
        <v>477</v>
      </c>
      <c r="B111" s="356"/>
      <c r="C111" s="467" t="e">
        <f>C70/C10</f>
        <v>#DIV/0!</v>
      </c>
      <c r="D111" s="468" t="s">
        <v>557</v>
      </c>
      <c r="E111" s="474"/>
      <c r="F111" s="475"/>
      <c r="G111" s="467" t="e">
        <f>G70/G10</f>
        <v>#DIV/0!</v>
      </c>
      <c r="H111" s="468" t="s">
        <v>557</v>
      </c>
      <c r="I111" s="474"/>
      <c r="J111" s="475"/>
      <c r="K111" s="467" t="e">
        <f>K70/K10</f>
        <v>#DIV/0!</v>
      </c>
      <c r="L111" s="468" t="s">
        <v>557</v>
      </c>
      <c r="M111" s="476"/>
    </row>
    <row r="112" spans="1:13" ht="16.5" customHeight="1">
      <c r="A112" s="466" t="s">
        <v>478</v>
      </c>
      <c r="B112" s="356"/>
      <c r="C112" s="472" t="e">
        <f>C70/C9</f>
        <v>#DIV/0!</v>
      </c>
      <c r="D112" s="473" t="s">
        <v>16</v>
      </c>
      <c r="E112" s="474"/>
      <c r="F112" s="475"/>
      <c r="G112" s="472" t="e">
        <f>G70/G9</f>
        <v>#DIV/0!</v>
      </c>
      <c r="H112" s="473" t="s">
        <v>16</v>
      </c>
      <c r="I112" s="474"/>
      <c r="J112" s="475"/>
      <c r="K112" s="472" t="e">
        <f>K70/K9</f>
        <v>#DIV/0!</v>
      </c>
      <c r="L112" s="473" t="s">
        <v>16</v>
      </c>
      <c r="M112" s="476"/>
    </row>
    <row r="113" spans="1:13" ht="7.15" hidden="1" customHeight="1">
      <c r="A113" s="456"/>
      <c r="B113" s="356"/>
      <c r="C113" s="477"/>
      <c r="D113" s="475"/>
      <c r="E113" s="474"/>
      <c r="F113" s="475"/>
      <c r="G113" s="477"/>
      <c r="H113" s="475"/>
      <c r="I113" s="474"/>
      <c r="J113" s="475"/>
      <c r="K113" s="477"/>
      <c r="L113" s="475"/>
      <c r="M113" s="476"/>
    </row>
    <row r="114" spans="1:13" ht="16.5" hidden="1" customHeight="1">
      <c r="A114" s="413" t="s">
        <v>520</v>
      </c>
      <c r="B114" s="478"/>
      <c r="C114" s="479"/>
      <c r="D114" s="480"/>
      <c r="E114" s="481"/>
      <c r="F114" s="480"/>
      <c r="G114" s="479"/>
      <c r="H114" s="480"/>
      <c r="I114" s="481"/>
      <c r="J114" s="480"/>
      <c r="K114" s="479"/>
      <c r="L114" s="480"/>
      <c r="M114" s="482"/>
    </row>
    <row r="115" spans="1:13" ht="16.5" hidden="1" customHeight="1">
      <c r="A115" s="466" t="s">
        <v>477</v>
      </c>
      <c r="B115" s="356"/>
      <c r="C115" s="467" t="e">
        <f>C78/C10</f>
        <v>#DIV/0!</v>
      </c>
      <c r="D115" s="468" t="s">
        <v>552</v>
      </c>
      <c r="E115" s="474"/>
      <c r="F115" s="475"/>
      <c r="G115" s="467" t="e">
        <f>G78/G10</f>
        <v>#DIV/0!</v>
      </c>
      <c r="H115" s="468" t="s">
        <v>552</v>
      </c>
      <c r="I115" s="474"/>
      <c r="J115" s="475"/>
      <c r="K115" s="467" t="e">
        <f>K78/K10</f>
        <v>#DIV/0!</v>
      </c>
      <c r="L115" s="468" t="s">
        <v>552</v>
      </c>
      <c r="M115" s="476"/>
    </row>
    <row r="116" spans="1:13" ht="16.5" hidden="1" customHeight="1">
      <c r="A116" s="466" t="s">
        <v>478</v>
      </c>
      <c r="B116" s="356"/>
      <c r="C116" s="472" t="e">
        <f>C78/C9</f>
        <v>#DIV/0!</v>
      </c>
      <c r="D116" s="473" t="s">
        <v>128</v>
      </c>
      <c r="E116" s="474"/>
      <c r="F116" s="475"/>
      <c r="G116" s="472" t="e">
        <f>G78/G9</f>
        <v>#DIV/0!</v>
      </c>
      <c r="H116" s="473" t="s">
        <v>128</v>
      </c>
      <c r="I116" s="474"/>
      <c r="J116" s="475"/>
      <c r="K116" s="472" t="e">
        <f>K78/K9</f>
        <v>#DIV/0!</v>
      </c>
      <c r="L116" s="473" t="s">
        <v>128</v>
      </c>
      <c r="M116" s="476"/>
    </row>
    <row r="117" spans="1:13" ht="16.5" customHeight="1" thickBot="1">
      <c r="A117" s="456"/>
      <c r="B117" s="356"/>
      <c r="C117" s="457"/>
      <c r="D117" s="356"/>
      <c r="E117" s="387"/>
      <c r="F117" s="356"/>
      <c r="G117" s="457"/>
      <c r="H117" s="356"/>
      <c r="I117" s="387"/>
      <c r="J117" s="356"/>
      <c r="K117" s="457"/>
      <c r="L117" s="356"/>
      <c r="M117" s="483"/>
    </row>
    <row r="118" spans="1:13" ht="16.5" customHeight="1">
      <c r="A118" s="711" t="s">
        <v>481</v>
      </c>
      <c r="B118" s="712"/>
      <c r="C118" s="712"/>
      <c r="D118" s="712"/>
      <c r="E118" s="712"/>
      <c r="F118" s="712"/>
      <c r="G118" s="712"/>
      <c r="H118" s="712"/>
      <c r="I118" s="712"/>
      <c r="J118" s="712"/>
      <c r="K118" s="712"/>
      <c r="L118" s="712"/>
      <c r="M118" s="713"/>
    </row>
    <row r="119" spans="1:13" ht="16.5" customHeight="1">
      <c r="A119" s="484"/>
      <c r="B119" s="485"/>
      <c r="C119" s="457"/>
      <c r="D119" s="356"/>
      <c r="E119" s="387"/>
      <c r="F119" s="356"/>
      <c r="G119" s="457"/>
      <c r="H119" s="356"/>
      <c r="I119" s="387"/>
      <c r="J119" s="356"/>
      <c r="K119" s="457"/>
      <c r="L119" s="356"/>
      <c r="M119" s="483"/>
    </row>
    <row r="120" spans="1:13" ht="16.5" customHeight="1">
      <c r="A120" s="484" t="s">
        <v>805</v>
      </c>
      <c r="B120" s="485"/>
      <c r="C120" s="630" t="s">
        <v>112</v>
      </c>
      <c r="D120" s="630" t="s">
        <v>113</v>
      </c>
      <c r="E120" s="630" t="s">
        <v>114</v>
      </c>
      <c r="F120" s="14"/>
      <c r="G120" s="630" t="s">
        <v>112</v>
      </c>
      <c r="H120" s="630" t="s">
        <v>113</v>
      </c>
      <c r="I120" s="630" t="s">
        <v>114</v>
      </c>
      <c r="J120" s="14"/>
      <c r="K120" s="630" t="s">
        <v>112</v>
      </c>
      <c r="L120" s="630" t="s">
        <v>113</v>
      </c>
      <c r="M120" s="631" t="s">
        <v>114</v>
      </c>
    </row>
    <row r="121" spans="1:13" ht="16.5" customHeight="1">
      <c r="A121" s="742" t="s">
        <v>798</v>
      </c>
      <c r="C121" s="632">
        <f>'Nutrient Management'!B55</f>
        <v>0</v>
      </c>
      <c r="D121" s="632">
        <f>'Nutrient Management'!C55</f>
        <v>0</v>
      </c>
      <c r="E121" s="632">
        <f>'Nutrient Management'!D55</f>
        <v>0</v>
      </c>
      <c r="F121" s="632"/>
      <c r="G121" s="632">
        <f>'Nutrient Management'!F55</f>
        <v>0</v>
      </c>
      <c r="H121" s="632">
        <f>'Nutrient Management'!G55</f>
        <v>0</v>
      </c>
      <c r="I121" s="632">
        <f>'Nutrient Management'!H55</f>
        <v>0</v>
      </c>
      <c r="J121" s="632"/>
      <c r="K121" s="632">
        <f>'Nutrient Management'!J55</f>
        <v>0</v>
      </c>
      <c r="L121" s="632">
        <f>'Nutrient Management'!K55</f>
        <v>0</v>
      </c>
      <c r="M121" s="632">
        <f>'Nutrient Management'!L55</f>
        <v>0</v>
      </c>
    </row>
    <row r="122" spans="1:13" ht="16.5" customHeight="1">
      <c r="A122" s="742"/>
      <c r="C122" s="630" t="s">
        <v>115</v>
      </c>
      <c r="D122" s="630" t="s">
        <v>116</v>
      </c>
      <c r="E122" s="630" t="s">
        <v>252</v>
      </c>
      <c r="F122" s="14"/>
      <c r="G122" s="630" t="s">
        <v>115</v>
      </c>
      <c r="H122" s="630" t="s">
        <v>116</v>
      </c>
      <c r="I122" s="630" t="s">
        <v>252</v>
      </c>
      <c r="J122" s="14"/>
      <c r="K122" s="630" t="s">
        <v>115</v>
      </c>
      <c r="L122" s="630" t="s">
        <v>116</v>
      </c>
      <c r="M122" s="631" t="s">
        <v>252</v>
      </c>
    </row>
    <row r="123" spans="1:13" ht="16.5" customHeight="1">
      <c r="A123" s="633"/>
      <c r="C123" s="632">
        <f>'Nutrient Management'!B58</f>
        <v>0</v>
      </c>
      <c r="D123" s="632">
        <f>'Nutrient Management'!C58</f>
        <v>0</v>
      </c>
      <c r="E123" s="632">
        <f>'Nutrient Management'!D58</f>
        <v>0</v>
      </c>
      <c r="F123" s="632"/>
      <c r="G123" s="632">
        <f>'Nutrient Management'!F58</f>
        <v>0</v>
      </c>
      <c r="H123" s="632">
        <f>'Nutrient Management'!G58</f>
        <v>0</v>
      </c>
      <c r="I123" s="632">
        <f>'Nutrient Management'!H58</f>
        <v>0</v>
      </c>
      <c r="J123" s="632"/>
      <c r="K123" s="632">
        <f>'Nutrient Management'!J58</f>
        <v>0</v>
      </c>
      <c r="L123" s="632">
        <f>'Nutrient Management'!K58</f>
        <v>0</v>
      </c>
      <c r="M123" s="632">
        <f>'Nutrient Management'!L58</f>
        <v>0</v>
      </c>
    </row>
    <row r="124" spans="1:13" ht="16.5" customHeight="1">
      <c r="A124" s="291"/>
      <c r="C124" s="630" t="s">
        <v>118</v>
      </c>
      <c r="D124" s="630" t="s">
        <v>119</v>
      </c>
      <c r="E124" s="630" t="s">
        <v>120</v>
      </c>
      <c r="F124" s="14"/>
      <c r="G124" s="630" t="s">
        <v>118</v>
      </c>
      <c r="H124" s="630" t="s">
        <v>119</v>
      </c>
      <c r="I124" s="630" t="s">
        <v>120</v>
      </c>
      <c r="J124" s="14"/>
      <c r="K124" s="630" t="s">
        <v>118</v>
      </c>
      <c r="L124" s="630" t="s">
        <v>119</v>
      </c>
      <c r="M124" s="631" t="s">
        <v>120</v>
      </c>
    </row>
    <row r="125" spans="1:13" ht="16.5" customHeight="1">
      <c r="A125" s="291"/>
      <c r="C125" s="632">
        <f>'Nutrient Management'!B60</f>
        <v>0</v>
      </c>
      <c r="D125" s="632">
        <f>'Nutrient Management'!C60</f>
        <v>0</v>
      </c>
      <c r="E125" s="632">
        <f>'Nutrient Management'!D60</f>
        <v>0</v>
      </c>
      <c r="F125" s="488"/>
      <c r="G125" s="632">
        <f>'Nutrient Management'!F60</f>
        <v>0</v>
      </c>
      <c r="H125" s="632">
        <f>'Nutrient Management'!G60</f>
        <v>0</v>
      </c>
      <c r="I125" s="632">
        <f>'Nutrient Management'!H60</f>
        <v>0</v>
      </c>
      <c r="J125" s="488"/>
      <c r="K125" s="632">
        <f>'Nutrient Management'!J60</f>
        <v>0</v>
      </c>
      <c r="L125" s="632">
        <f>'Nutrient Management'!K60</f>
        <v>0</v>
      </c>
      <c r="M125" s="632">
        <f>'Nutrient Management'!L60</f>
        <v>0</v>
      </c>
    </row>
    <row r="126" spans="1:13" ht="16.5" customHeight="1">
      <c r="A126" s="291"/>
      <c r="C126" s="634"/>
      <c r="D126" s="635"/>
      <c r="E126" s="636"/>
      <c r="F126" s="637"/>
      <c r="G126" s="634"/>
      <c r="H126" s="635"/>
      <c r="I126" s="636"/>
      <c r="J126" s="637"/>
      <c r="K126" s="634"/>
      <c r="L126" s="635"/>
      <c r="M126" s="635"/>
    </row>
    <row r="127" spans="1:13" ht="16.5" customHeight="1">
      <c r="A127" s="484" t="s">
        <v>806</v>
      </c>
      <c r="B127" s="485"/>
      <c r="C127" s="486" t="s">
        <v>112</v>
      </c>
      <c r="D127" s="486" t="s">
        <v>113</v>
      </c>
      <c r="E127" s="486" t="s">
        <v>114</v>
      </c>
      <c r="F127" s="14"/>
      <c r="G127" s="486" t="s">
        <v>112</v>
      </c>
      <c r="H127" s="486" t="s">
        <v>113</v>
      </c>
      <c r="I127" s="486" t="s">
        <v>114</v>
      </c>
      <c r="J127" s="14"/>
      <c r="K127" s="486" t="s">
        <v>112</v>
      </c>
      <c r="L127" s="486" t="s">
        <v>113</v>
      </c>
      <c r="M127" s="487" t="s">
        <v>114</v>
      </c>
    </row>
    <row r="128" spans="1:13" ht="16.5" customHeight="1">
      <c r="A128" s="742" t="s">
        <v>799</v>
      </c>
      <c r="C128" s="632">
        <f>'Nutrient Management'!B65</f>
        <v>0</v>
      </c>
      <c r="D128" s="632">
        <f>'Nutrient Management'!C65</f>
        <v>0</v>
      </c>
      <c r="E128" s="632">
        <f>'Nutrient Management'!D65</f>
        <v>0</v>
      </c>
      <c r="F128" s="632"/>
      <c r="G128" s="632">
        <f>'Nutrient Management'!F65</f>
        <v>0</v>
      </c>
      <c r="H128" s="632">
        <f>'Nutrient Management'!G65</f>
        <v>0</v>
      </c>
      <c r="I128" s="632">
        <f>'Nutrient Management'!H65</f>
        <v>0</v>
      </c>
      <c r="J128" s="632"/>
      <c r="K128" s="632">
        <f>'Nutrient Management'!J65</f>
        <v>0</v>
      </c>
      <c r="L128" s="632">
        <f>'Nutrient Management'!K65</f>
        <v>0</v>
      </c>
      <c r="M128" s="632">
        <f>'Nutrient Management'!L65</f>
        <v>0</v>
      </c>
    </row>
    <row r="129" spans="1:13" ht="16.5" customHeight="1">
      <c r="A129" s="742"/>
      <c r="C129" s="486" t="s">
        <v>115</v>
      </c>
      <c r="D129" s="486" t="s">
        <v>116</v>
      </c>
      <c r="E129" s="486" t="s">
        <v>252</v>
      </c>
      <c r="F129" s="14"/>
      <c r="G129" s="486" t="s">
        <v>115</v>
      </c>
      <c r="H129" s="486" t="s">
        <v>116</v>
      </c>
      <c r="I129" s="486" t="s">
        <v>252</v>
      </c>
      <c r="J129" s="14"/>
      <c r="K129" s="486" t="s">
        <v>115</v>
      </c>
      <c r="L129" s="486" t="s">
        <v>116</v>
      </c>
      <c r="M129" s="487" t="s">
        <v>252</v>
      </c>
    </row>
    <row r="130" spans="1:13" ht="16.5" customHeight="1">
      <c r="A130" s="633"/>
      <c r="C130" s="632">
        <f>'Nutrient Management'!B68</f>
        <v>0</v>
      </c>
      <c r="D130" s="632">
        <f>'Nutrient Management'!C68</f>
        <v>0</v>
      </c>
      <c r="E130" s="632">
        <f>'Nutrient Management'!D68</f>
        <v>0</v>
      </c>
      <c r="F130" s="632"/>
      <c r="G130" s="632">
        <f>'Nutrient Management'!F68</f>
        <v>0</v>
      </c>
      <c r="H130" s="632">
        <f>'Nutrient Management'!G68</f>
        <v>0</v>
      </c>
      <c r="I130" s="632">
        <f>'Nutrient Management'!H68</f>
        <v>0</v>
      </c>
      <c r="J130" s="632"/>
      <c r="K130" s="632">
        <f>'Nutrient Management'!J68</f>
        <v>0</v>
      </c>
      <c r="L130" s="632">
        <f>'Nutrient Management'!K68</f>
        <v>0</v>
      </c>
      <c r="M130" s="632">
        <f>'Nutrient Management'!L68</f>
        <v>0</v>
      </c>
    </row>
    <row r="131" spans="1:13" ht="16.5" customHeight="1">
      <c r="A131" s="291"/>
      <c r="C131" s="486" t="s">
        <v>118</v>
      </c>
      <c r="D131" s="486" t="s">
        <v>119</v>
      </c>
      <c r="E131" s="486" t="s">
        <v>120</v>
      </c>
      <c r="F131" s="14"/>
      <c r="G131" s="486" t="s">
        <v>118</v>
      </c>
      <c r="H131" s="486" t="s">
        <v>119</v>
      </c>
      <c r="I131" s="486" t="s">
        <v>120</v>
      </c>
      <c r="J131" s="14"/>
      <c r="K131" s="486" t="s">
        <v>118</v>
      </c>
      <c r="L131" s="486" t="s">
        <v>119</v>
      </c>
      <c r="M131" s="487" t="s">
        <v>120</v>
      </c>
    </row>
    <row r="132" spans="1:13" ht="16.5" customHeight="1">
      <c r="A132" s="291"/>
      <c r="C132" s="632">
        <f>'Nutrient Management'!B70</f>
        <v>0</v>
      </c>
      <c r="D132" s="632">
        <f>'Nutrient Management'!C70</f>
        <v>0</v>
      </c>
      <c r="E132" s="632">
        <f>'Nutrient Management'!D70</f>
        <v>0</v>
      </c>
      <c r="F132" s="632"/>
      <c r="G132" s="632">
        <f>'Nutrient Management'!F70</f>
        <v>0</v>
      </c>
      <c r="H132" s="632">
        <f>'Nutrient Management'!G70</f>
        <v>0</v>
      </c>
      <c r="I132" s="632">
        <f>'Nutrient Management'!H70</f>
        <v>0</v>
      </c>
      <c r="J132" s="632"/>
      <c r="K132" s="632">
        <f>'Nutrient Management'!J70</f>
        <v>0</v>
      </c>
      <c r="L132" s="632">
        <f>'Nutrient Management'!K70</f>
        <v>0</v>
      </c>
      <c r="M132" s="632">
        <f>'Nutrient Management'!L70</f>
        <v>0</v>
      </c>
    </row>
    <row r="133" spans="1:13" ht="16.5" customHeight="1">
      <c r="A133" s="456"/>
      <c r="B133" s="356"/>
      <c r="C133" s="457"/>
      <c r="D133" s="356"/>
      <c r="E133" s="387"/>
      <c r="F133" s="356"/>
      <c r="G133" s="457"/>
      <c r="H133" s="356"/>
      <c r="I133" s="387"/>
      <c r="J133" s="356"/>
      <c r="K133" s="457"/>
      <c r="L133" s="356"/>
      <c r="M133" s="483"/>
    </row>
    <row r="134" spans="1:13" ht="16.5" customHeight="1">
      <c r="A134" s="489" t="s">
        <v>352</v>
      </c>
      <c r="B134" s="159"/>
      <c r="C134" s="490" t="s">
        <v>112</v>
      </c>
      <c r="D134" s="490" t="s">
        <v>113</v>
      </c>
      <c r="E134" s="490" t="s">
        <v>114</v>
      </c>
      <c r="F134" s="410"/>
      <c r="G134" s="490" t="s">
        <v>112</v>
      </c>
      <c r="H134" s="490" t="s">
        <v>113</v>
      </c>
      <c r="I134" s="490" t="s">
        <v>114</v>
      </c>
      <c r="J134" s="410"/>
      <c r="K134" s="490" t="s">
        <v>112</v>
      </c>
      <c r="L134" s="490" t="s">
        <v>113</v>
      </c>
      <c r="M134" s="491" t="s">
        <v>114</v>
      </c>
    </row>
    <row r="135" spans="1:13" ht="16.5" customHeight="1">
      <c r="A135" s="25" t="s">
        <v>253</v>
      </c>
      <c r="B135" s="356"/>
      <c r="C135" s="492">
        <f>'Fertilizer Plan'!I75</f>
        <v>0</v>
      </c>
      <c r="D135" s="492">
        <f>'Fertilizer Plan'!J75</f>
        <v>0</v>
      </c>
      <c r="E135" s="492">
        <f>'Fertilizer Plan'!K75</f>
        <v>0</v>
      </c>
      <c r="F135" s="493"/>
      <c r="G135" s="492">
        <f>'Fertilizer Plan'!U75</f>
        <v>0</v>
      </c>
      <c r="H135" s="492">
        <f>'Fertilizer Plan'!V75</f>
        <v>0</v>
      </c>
      <c r="I135" s="492">
        <f>'Fertilizer Plan'!W75</f>
        <v>0</v>
      </c>
      <c r="J135" s="493"/>
      <c r="K135" s="492">
        <f>'Fertilizer Plan'!AG75</f>
        <v>0</v>
      </c>
      <c r="L135" s="492">
        <f>'Fertilizer Plan'!AH75</f>
        <v>0</v>
      </c>
      <c r="M135" s="494">
        <f>'Fertilizer Plan'!AI75</f>
        <v>0</v>
      </c>
    </row>
    <row r="136" spans="1:13" ht="16.5" customHeight="1">
      <c r="A136" s="456"/>
      <c r="B136" s="356"/>
      <c r="C136" s="490" t="s">
        <v>115</v>
      </c>
      <c r="D136" s="490" t="s">
        <v>116</v>
      </c>
      <c r="E136" s="490" t="s">
        <v>252</v>
      </c>
      <c r="F136" s="493"/>
      <c r="G136" s="490" t="s">
        <v>115</v>
      </c>
      <c r="H136" s="490" t="s">
        <v>116</v>
      </c>
      <c r="I136" s="490" t="s">
        <v>252</v>
      </c>
      <c r="J136" s="493"/>
      <c r="K136" s="490" t="s">
        <v>115</v>
      </c>
      <c r="L136" s="490" t="s">
        <v>116</v>
      </c>
      <c r="M136" s="491" t="s">
        <v>252</v>
      </c>
    </row>
    <row r="137" spans="1:13" ht="16.5" customHeight="1">
      <c r="A137" s="456"/>
      <c r="B137" s="356"/>
      <c r="C137" s="492">
        <f>'Fertilizer Plan'!I78</f>
        <v>0</v>
      </c>
      <c r="D137" s="492">
        <f>'Fertilizer Plan'!J78</f>
        <v>0</v>
      </c>
      <c r="E137" s="492">
        <f>'Fertilizer Plan'!K78</f>
        <v>0</v>
      </c>
      <c r="F137" s="493"/>
      <c r="G137" s="492">
        <f>'Fertilizer Plan'!U78</f>
        <v>0</v>
      </c>
      <c r="H137" s="492">
        <f>'Fertilizer Plan'!V78</f>
        <v>0</v>
      </c>
      <c r="I137" s="492">
        <f>'Fertilizer Plan'!W78</f>
        <v>0</v>
      </c>
      <c r="J137" s="493"/>
      <c r="K137" s="492">
        <f>'Fertilizer Plan'!AG78</f>
        <v>0</v>
      </c>
      <c r="L137" s="492">
        <f>'Fertilizer Plan'!AH78</f>
        <v>0</v>
      </c>
      <c r="M137" s="494">
        <f>'Fertilizer Plan'!AI78</f>
        <v>0</v>
      </c>
    </row>
    <row r="138" spans="1:13" ht="16.5" customHeight="1">
      <c r="A138" s="456"/>
      <c r="B138" s="356"/>
      <c r="C138" s="490" t="s">
        <v>118</v>
      </c>
      <c r="D138" s="490" t="s">
        <v>119</v>
      </c>
      <c r="E138" s="490" t="s">
        <v>120</v>
      </c>
      <c r="F138" s="493"/>
      <c r="G138" s="490" t="s">
        <v>118</v>
      </c>
      <c r="H138" s="490" t="s">
        <v>119</v>
      </c>
      <c r="I138" s="490" t="s">
        <v>120</v>
      </c>
      <c r="J138" s="493"/>
      <c r="K138" s="490" t="s">
        <v>118</v>
      </c>
      <c r="L138" s="490" t="s">
        <v>119</v>
      </c>
      <c r="M138" s="491" t="s">
        <v>120</v>
      </c>
    </row>
    <row r="139" spans="1:13" ht="16.5" customHeight="1">
      <c r="A139" s="456"/>
      <c r="B139" s="356"/>
      <c r="C139" s="495">
        <f>'Fertilizer Plan'!I81</f>
        <v>0</v>
      </c>
      <c r="D139" s="495">
        <f>'Fertilizer Plan'!J81</f>
        <v>0</v>
      </c>
      <c r="E139" s="495">
        <f>'Fertilizer Plan'!K81</f>
        <v>0</v>
      </c>
      <c r="F139" s="496"/>
      <c r="G139" s="495">
        <f>'Fertilizer Plan'!U81</f>
        <v>0</v>
      </c>
      <c r="H139" s="495">
        <f>'Fertilizer Plan'!V81</f>
        <v>0</v>
      </c>
      <c r="I139" s="495">
        <f>'Fertilizer Plan'!W81</f>
        <v>0</v>
      </c>
      <c r="J139" s="496"/>
      <c r="K139" s="495">
        <f>'Fertilizer Plan'!AG81</f>
        <v>0</v>
      </c>
      <c r="L139" s="495">
        <f>'Fertilizer Plan'!AH81</f>
        <v>0</v>
      </c>
      <c r="M139" s="497">
        <f>'Fertilizer Plan'!AI81</f>
        <v>0</v>
      </c>
    </row>
    <row r="140" spans="1:13" ht="16.5" customHeight="1">
      <c r="A140" s="456"/>
      <c r="B140" s="356"/>
      <c r="C140" s="498"/>
      <c r="D140" s="498"/>
      <c r="E140" s="498"/>
      <c r="F140" s="493"/>
      <c r="G140" s="498"/>
      <c r="H140" s="498"/>
      <c r="I140" s="498"/>
      <c r="J140" s="493"/>
      <c r="K140" s="498"/>
      <c r="L140" s="498"/>
      <c r="M140" s="499"/>
    </row>
    <row r="141" spans="1:13" ht="16.5" customHeight="1">
      <c r="A141" s="503"/>
      <c r="B141" s="461"/>
      <c r="C141" s="260" t="s">
        <v>487</v>
      </c>
      <c r="D141" s="475"/>
      <c r="E141" s="475"/>
      <c r="F141" s="727" t="s">
        <v>475</v>
      </c>
      <c r="G141" s="727"/>
      <c r="H141" s="727"/>
      <c r="I141" s="727"/>
      <c r="J141" s="727"/>
      <c r="K141" s="727"/>
      <c r="L141" s="727"/>
      <c r="M141" s="728"/>
    </row>
    <row r="142" spans="1:13" ht="16.5" customHeight="1" thickBot="1">
      <c r="A142" s="500"/>
      <c r="B142" s="501"/>
      <c r="C142" s="233"/>
      <c r="D142" s="502"/>
      <c r="E142" s="502"/>
      <c r="F142" s="504"/>
      <c r="G142" s="504"/>
      <c r="H142" s="504"/>
      <c r="I142" s="504"/>
      <c r="J142" s="504"/>
      <c r="K142" s="504"/>
      <c r="L142" s="504"/>
      <c r="M142" s="505"/>
    </row>
    <row r="143" spans="1:13">
      <c r="A143" s="711" t="s">
        <v>636</v>
      </c>
      <c r="B143" s="712"/>
      <c r="C143" s="712"/>
      <c r="D143" s="712"/>
      <c r="E143" s="712"/>
      <c r="F143" s="712"/>
      <c r="G143" s="712"/>
      <c r="H143" s="712"/>
      <c r="I143" s="712"/>
      <c r="J143" s="712"/>
      <c r="K143" s="712"/>
      <c r="L143" s="712"/>
      <c r="M143" s="713"/>
    </row>
    <row r="144" spans="1:13">
      <c r="A144" s="291"/>
      <c r="M144" s="292"/>
    </row>
    <row r="145" spans="1:13">
      <c r="A145" s="291"/>
      <c r="M145" s="292"/>
    </row>
    <row r="146" spans="1:13">
      <c r="A146" s="291"/>
      <c r="M146" s="292"/>
    </row>
    <row r="147" spans="1:13">
      <c r="A147" s="291"/>
      <c r="M147" s="292"/>
    </row>
    <row r="148" spans="1:13">
      <c r="A148" s="291"/>
      <c r="M148" s="292"/>
    </row>
    <row r="149" spans="1:13">
      <c r="A149" s="291"/>
      <c r="M149" s="292"/>
    </row>
    <row r="150" spans="1:13">
      <c r="A150" s="293"/>
      <c r="B150" s="23"/>
      <c r="C150" s="23"/>
      <c r="D150" s="23"/>
      <c r="E150" s="23"/>
      <c r="F150" s="23"/>
      <c r="G150" s="23"/>
      <c r="H150" s="23"/>
      <c r="I150" s="23"/>
      <c r="J150" s="23"/>
      <c r="K150" s="23"/>
      <c r="L150" s="23"/>
      <c r="M150" s="294"/>
    </row>
    <row r="151" spans="1:13">
      <c r="A151" s="291"/>
      <c r="M151" s="292"/>
    </row>
    <row r="152" spans="1:13">
      <c r="A152" s="291"/>
      <c r="M152" s="292"/>
    </row>
    <row r="153" spans="1:13">
      <c r="A153" s="291"/>
      <c r="M153" s="292"/>
    </row>
    <row r="154" spans="1:13">
      <c r="A154" s="291"/>
      <c r="M154" s="292"/>
    </row>
    <row r="155" spans="1:13">
      <c r="A155" s="291"/>
      <c r="M155" s="292"/>
    </row>
    <row r="156" spans="1:13">
      <c r="A156" s="291"/>
      <c r="M156" s="292"/>
    </row>
    <row r="157" spans="1:13">
      <c r="A157" s="291"/>
      <c r="M157" s="292"/>
    </row>
    <row r="158" spans="1:13">
      <c r="A158" s="291"/>
      <c r="M158" s="292"/>
    </row>
    <row r="159" spans="1:13">
      <c r="A159" s="291"/>
      <c r="M159" s="292"/>
    </row>
    <row r="160" spans="1:13">
      <c r="A160" s="291"/>
      <c r="M160" s="292"/>
    </row>
    <row r="161" spans="1:13">
      <c r="A161" s="291"/>
      <c r="M161" s="292"/>
    </row>
    <row r="162" spans="1:13">
      <c r="A162" s="291"/>
      <c r="M162" s="292"/>
    </row>
    <row r="163" spans="1:13">
      <c r="A163" s="291"/>
      <c r="M163" s="292"/>
    </row>
    <row r="164" spans="1:13">
      <c r="A164" s="291"/>
      <c r="M164" s="292"/>
    </row>
    <row r="165" spans="1:13">
      <c r="A165" s="291"/>
      <c r="M165" s="292"/>
    </row>
    <row r="166" spans="1:13">
      <c r="A166" s="291"/>
      <c r="M166" s="292"/>
    </row>
    <row r="167" spans="1:13">
      <c r="A167" s="291"/>
      <c r="M167" s="292"/>
    </row>
    <row r="168" spans="1:13">
      <c r="A168" s="291"/>
      <c r="M168" s="292"/>
    </row>
    <row r="169" spans="1:13">
      <c r="A169" s="291"/>
      <c r="M169" s="292"/>
    </row>
    <row r="170" spans="1:13">
      <c r="A170" s="291"/>
      <c r="M170" s="292"/>
    </row>
    <row r="171" spans="1:13">
      <c r="A171" s="291"/>
      <c r="M171" s="292"/>
    </row>
    <row r="172" spans="1:13">
      <c r="A172" s="291"/>
      <c r="M172" s="292"/>
    </row>
    <row r="173" spans="1:13">
      <c r="A173" s="291"/>
      <c r="M173" s="292"/>
    </row>
    <row r="174" spans="1:13">
      <c r="A174" s="291"/>
      <c r="M174" s="292"/>
    </row>
    <row r="175" spans="1:13">
      <c r="A175" s="291"/>
      <c r="M175" s="292"/>
    </row>
    <row r="176" spans="1:13">
      <c r="A176" s="291"/>
      <c r="M176" s="292"/>
    </row>
    <row r="177" spans="1:13">
      <c r="A177" s="291"/>
      <c r="M177" s="292"/>
    </row>
    <row r="178" spans="1:13">
      <c r="A178" s="291"/>
      <c r="M178" s="292"/>
    </row>
    <row r="179" spans="1:13">
      <c r="A179" s="291"/>
      <c r="M179" s="292"/>
    </row>
    <row r="180" spans="1:13">
      <c r="A180" s="291"/>
      <c r="M180" s="292"/>
    </row>
    <row r="181" spans="1:13">
      <c r="A181" s="291"/>
      <c r="M181" s="292"/>
    </row>
    <row r="182" spans="1:13">
      <c r="A182" s="291"/>
      <c r="M182" s="292"/>
    </row>
    <row r="183" spans="1:13">
      <c r="A183" s="291"/>
      <c r="M183" s="292"/>
    </row>
    <row r="184" spans="1:13">
      <c r="A184" s="291"/>
      <c r="M184" s="292"/>
    </row>
    <row r="185" spans="1:13">
      <c r="A185" s="291"/>
      <c r="M185" s="292"/>
    </row>
    <row r="186" spans="1:13">
      <c r="A186" s="291"/>
      <c r="M186" s="292"/>
    </row>
    <row r="187" spans="1:13">
      <c r="A187" s="291"/>
      <c r="M187" s="292"/>
    </row>
    <row r="188" spans="1:13">
      <c r="A188" s="291"/>
      <c r="M188" s="292"/>
    </row>
    <row r="189" spans="1:13">
      <c r="A189" s="291"/>
      <c r="M189" s="292"/>
    </row>
    <row r="190" spans="1:13">
      <c r="A190" s="291"/>
      <c r="M190" s="292"/>
    </row>
    <row r="191" spans="1:13">
      <c r="A191" s="291"/>
      <c r="M191" s="292"/>
    </row>
    <row r="192" spans="1:13">
      <c r="A192" s="291"/>
      <c r="M192" s="292"/>
    </row>
    <row r="193" spans="1:13">
      <c r="A193" s="291"/>
      <c r="M193" s="292"/>
    </row>
    <row r="194" spans="1:13">
      <c r="A194" s="291"/>
      <c r="M194" s="292"/>
    </row>
    <row r="195" spans="1:13">
      <c r="A195" s="291"/>
      <c r="M195" s="292"/>
    </row>
    <row r="196" spans="1:13">
      <c r="A196" s="291"/>
      <c r="M196" s="292"/>
    </row>
    <row r="197" spans="1:13">
      <c r="A197" s="291"/>
      <c r="M197" s="292"/>
    </row>
    <row r="198" spans="1:13">
      <c r="A198" s="291"/>
      <c r="M198" s="292"/>
    </row>
    <row r="199" spans="1:13">
      <c r="A199" s="291"/>
      <c r="M199" s="292"/>
    </row>
    <row r="200" spans="1:13">
      <c r="A200" s="291"/>
      <c r="M200" s="292"/>
    </row>
    <row r="201" spans="1:13">
      <c r="A201" s="291"/>
      <c r="M201" s="292"/>
    </row>
    <row r="202" spans="1:13" ht="19.5" thickBot="1">
      <c r="A202" s="295"/>
      <c r="B202" s="296"/>
      <c r="C202" s="296"/>
      <c r="D202" s="296"/>
      <c r="E202" s="296"/>
      <c r="F202" s="296"/>
      <c r="G202" s="296"/>
      <c r="H202" s="296"/>
      <c r="I202" s="296"/>
      <c r="J202" s="296"/>
      <c r="K202" s="296"/>
      <c r="L202" s="296"/>
      <c r="M202" s="297"/>
    </row>
  </sheetData>
  <sortState xmlns:xlrd2="http://schemas.microsoft.com/office/spreadsheetml/2017/richdata2" ref="AA6:AA12">
    <sortCondition ref="AA12"/>
  </sortState>
  <mergeCells count="62">
    <mergeCell ref="A121:A122"/>
    <mergeCell ref="A128:A129"/>
    <mergeCell ref="A85:A86"/>
    <mergeCell ref="A89:A90"/>
    <mergeCell ref="A93:A94"/>
    <mergeCell ref="A97:A98"/>
    <mergeCell ref="A82:M82"/>
    <mergeCell ref="D85:E85"/>
    <mergeCell ref="D84:E84"/>
    <mergeCell ref="L85:M85"/>
    <mergeCell ref="L86:M86"/>
    <mergeCell ref="H85:I85"/>
    <mergeCell ref="H86:I86"/>
    <mergeCell ref="D86:E86"/>
    <mergeCell ref="L84:M84"/>
    <mergeCell ref="H84:I84"/>
    <mergeCell ref="H83:I83"/>
    <mergeCell ref="D83:E83"/>
    <mergeCell ref="L83:M83"/>
    <mergeCell ref="D97:E97"/>
    <mergeCell ref="H97:I97"/>
    <mergeCell ref="L97:M97"/>
    <mergeCell ref="D98:E98"/>
    <mergeCell ref="H98:I98"/>
    <mergeCell ref="L98:M98"/>
    <mergeCell ref="D94:E94"/>
    <mergeCell ref="H94:I94"/>
    <mergeCell ref="L94:M94"/>
    <mergeCell ref="D96:E96"/>
    <mergeCell ref="H96:I96"/>
    <mergeCell ref="L96:M96"/>
    <mergeCell ref="D92:E92"/>
    <mergeCell ref="H92:I92"/>
    <mergeCell ref="L92:M92"/>
    <mergeCell ref="D93:E93"/>
    <mergeCell ref="H93:I93"/>
    <mergeCell ref="L93:M93"/>
    <mergeCell ref="L88:M88"/>
    <mergeCell ref="D89:E89"/>
    <mergeCell ref="H89:I89"/>
    <mergeCell ref="L89:M89"/>
    <mergeCell ref="D90:E90"/>
    <mergeCell ref="H90:I90"/>
    <mergeCell ref="L90:M90"/>
    <mergeCell ref="D88:E88"/>
    <mergeCell ref="H88:I88"/>
    <mergeCell ref="A1:M2"/>
    <mergeCell ref="C5:E5"/>
    <mergeCell ref="G5:I5"/>
    <mergeCell ref="K5:M5"/>
    <mergeCell ref="A143:M143"/>
    <mergeCell ref="A73:M73"/>
    <mergeCell ref="A3:M3"/>
    <mergeCell ref="A63:M63"/>
    <mergeCell ref="A16:A17"/>
    <mergeCell ref="B16:B17"/>
    <mergeCell ref="C6:E6"/>
    <mergeCell ref="G6:I6"/>
    <mergeCell ref="K6:M6"/>
    <mergeCell ref="F141:M141"/>
    <mergeCell ref="A118:M118"/>
    <mergeCell ref="A100:M100"/>
  </mergeCells>
  <conditionalFormatting sqref="L54:L58">
    <cfRule type="dataBar" priority="561">
      <dataBar showValue="0">
        <cfvo type="min"/>
        <cfvo type="max"/>
        <color rgb="FF63C384"/>
      </dataBar>
      <extLst>
        <ext xmlns:x14="http://schemas.microsoft.com/office/spreadsheetml/2009/9/main" uri="{B025F937-C7B1-47D3-B67F-A62EFF666E3E}">
          <x14:id>{4F918F03-759B-40BA-A88B-680B640ED8F4}</x14:id>
        </ext>
      </extLst>
    </cfRule>
  </conditionalFormatting>
  <conditionalFormatting sqref="H54:H58">
    <cfRule type="dataBar" priority="562">
      <dataBar showValue="0">
        <cfvo type="min"/>
        <cfvo type="max"/>
        <color rgb="FF63C384"/>
      </dataBar>
      <extLst>
        <ext xmlns:x14="http://schemas.microsoft.com/office/spreadsheetml/2009/9/main" uri="{B025F937-C7B1-47D3-B67F-A62EFF666E3E}">
          <x14:id>{2A1A8D49-D5EF-4887-A5B3-2AB7ABDC1709}</x14:id>
        </ext>
      </extLst>
    </cfRule>
  </conditionalFormatting>
  <conditionalFormatting sqref="D54:D58">
    <cfRule type="dataBar" priority="563">
      <dataBar showValue="0">
        <cfvo type="min"/>
        <cfvo type="max"/>
        <color rgb="FF63C384"/>
      </dataBar>
      <extLst>
        <ext xmlns:x14="http://schemas.microsoft.com/office/spreadsheetml/2009/9/main" uri="{B025F937-C7B1-47D3-B67F-A62EFF666E3E}">
          <x14:id>{ABF07D87-9307-466F-B423-AD86C2B8D024}</x14:id>
        </ext>
      </extLst>
    </cfRule>
  </conditionalFormatting>
  <conditionalFormatting sqref="D21:D49">
    <cfRule type="dataBar" priority="570">
      <dataBar showValue="0">
        <cfvo type="min"/>
        <cfvo type="max"/>
        <color rgb="FF63C384"/>
      </dataBar>
      <extLst>
        <ext xmlns:x14="http://schemas.microsoft.com/office/spreadsheetml/2009/9/main" uri="{B025F937-C7B1-47D3-B67F-A62EFF666E3E}">
          <x14:id>{DFFD5CBF-4274-4041-81CA-88DEBFB189B6}</x14:id>
        </ext>
      </extLst>
    </cfRule>
  </conditionalFormatting>
  <conditionalFormatting sqref="H21:H49">
    <cfRule type="dataBar" priority="572">
      <dataBar showValue="0">
        <cfvo type="min"/>
        <cfvo type="max"/>
        <color rgb="FF63C384"/>
      </dataBar>
      <extLst>
        <ext xmlns:x14="http://schemas.microsoft.com/office/spreadsheetml/2009/9/main" uri="{B025F937-C7B1-47D3-B67F-A62EFF666E3E}">
          <x14:id>{B448E95B-C6F8-453E-A3AE-249FD402675F}</x14:id>
        </ext>
      </extLst>
    </cfRule>
  </conditionalFormatting>
  <conditionalFormatting sqref="L21:L49">
    <cfRule type="dataBar" priority="574">
      <dataBar showValue="0">
        <cfvo type="min"/>
        <cfvo type="max"/>
        <color rgb="FF63C384"/>
      </dataBar>
      <extLst>
        <ext xmlns:x14="http://schemas.microsoft.com/office/spreadsheetml/2009/9/main" uri="{B025F937-C7B1-47D3-B67F-A62EFF666E3E}">
          <x14:id>{174E35D5-C436-4A14-886C-5B51743A4A33}</x14:id>
        </ext>
      </extLst>
    </cfRule>
  </conditionalFormatting>
  <conditionalFormatting sqref="D65:D68">
    <cfRule type="dataBar" priority="576">
      <dataBar showValue="0">
        <cfvo type="min"/>
        <cfvo type="max"/>
        <color rgb="FF63C384"/>
      </dataBar>
      <extLst>
        <ext xmlns:x14="http://schemas.microsoft.com/office/spreadsheetml/2009/9/main" uri="{B025F937-C7B1-47D3-B67F-A62EFF666E3E}">
          <x14:id>{08133580-B0A9-4829-94F8-8E3826767F44}</x14:id>
        </ext>
      </extLst>
    </cfRule>
  </conditionalFormatting>
  <conditionalFormatting sqref="H65:H68">
    <cfRule type="dataBar" priority="577">
      <dataBar showValue="0">
        <cfvo type="min"/>
        <cfvo type="max"/>
        <color rgb="FF63C384"/>
      </dataBar>
      <extLst>
        <ext xmlns:x14="http://schemas.microsoft.com/office/spreadsheetml/2009/9/main" uri="{B025F937-C7B1-47D3-B67F-A62EFF666E3E}">
          <x14:id>{ECAE5CCC-EF50-49AE-93EF-FD70ED20A078}</x14:id>
        </ext>
      </extLst>
    </cfRule>
  </conditionalFormatting>
  <conditionalFormatting sqref="L65:L68">
    <cfRule type="dataBar" priority="578">
      <dataBar showValue="0">
        <cfvo type="min"/>
        <cfvo type="max"/>
        <color rgb="FF63C384"/>
      </dataBar>
      <extLst>
        <ext xmlns:x14="http://schemas.microsoft.com/office/spreadsheetml/2009/9/main" uri="{B025F937-C7B1-47D3-B67F-A62EFF666E3E}">
          <x14:id>{1B7AB26F-0845-4547-BD62-D24C8DBDA6E0}</x14:id>
        </ext>
      </extLst>
    </cfRule>
  </conditionalFormatting>
  <conditionalFormatting sqref="D75:D76">
    <cfRule type="dataBar" priority="579">
      <dataBar showValue="0">
        <cfvo type="min"/>
        <cfvo type="max"/>
        <color rgb="FF63C384"/>
      </dataBar>
      <extLst>
        <ext xmlns:x14="http://schemas.microsoft.com/office/spreadsheetml/2009/9/main" uri="{B025F937-C7B1-47D3-B67F-A62EFF666E3E}">
          <x14:id>{9A9F3E77-62BD-4925-AD96-C63EE6A7EA02}</x14:id>
        </ext>
      </extLst>
    </cfRule>
  </conditionalFormatting>
  <conditionalFormatting sqref="H75:H76">
    <cfRule type="dataBar" priority="580">
      <dataBar showValue="0">
        <cfvo type="min"/>
        <cfvo type="max"/>
        <color rgb="FF63C384"/>
      </dataBar>
      <extLst>
        <ext xmlns:x14="http://schemas.microsoft.com/office/spreadsheetml/2009/9/main" uri="{B025F937-C7B1-47D3-B67F-A62EFF666E3E}">
          <x14:id>{53A66F99-7791-46CD-89E7-7346DA69D8CA}</x14:id>
        </ext>
      </extLst>
    </cfRule>
  </conditionalFormatting>
  <conditionalFormatting sqref="L75:L76">
    <cfRule type="dataBar" priority="581">
      <dataBar showValue="0">
        <cfvo type="min"/>
        <cfvo type="max"/>
        <color rgb="FF63C384"/>
      </dataBar>
      <extLst>
        <ext xmlns:x14="http://schemas.microsoft.com/office/spreadsheetml/2009/9/main" uri="{B025F937-C7B1-47D3-B67F-A62EFF666E3E}">
          <x14:id>{1258B422-5B4F-4689-A016-B7CC44E6DC3E}</x14:id>
        </ext>
      </extLst>
    </cfRule>
  </conditionalFormatting>
  <dataValidations count="2">
    <dataValidation type="list" allowBlank="1" showInputMessage="1" showErrorMessage="1" sqref="C6:E6" xr:uid="{1ADE8F42-7AFA-4922-A6A2-EDD606189B4B}">
      <formula1>$V$6:$V$11</formula1>
    </dataValidation>
    <dataValidation type="list" allowBlank="1" showInputMessage="1" showErrorMessage="1" sqref="G6:I6 K6:M6" xr:uid="{53D92BF5-39FE-42CE-A95E-DDC1B26E7C7A}">
      <formula1>$X$6:$X$11</formula1>
    </dataValidation>
  </dataValidations>
  <hyperlinks>
    <hyperlink ref="F141" r:id="rId1" xr:uid="{08932BD2-8E40-4FF2-9D34-DBF0BC8DFDA1}"/>
  </hyperlinks>
  <printOptions horizontalCentered="1"/>
  <pageMargins left="0.25" right="0.25" top="0.75" bottom="0.75" header="0.3" footer="0.3"/>
  <pageSetup scale="49" orientation="portrait" r:id="rId2"/>
  <rowBreaks count="2" manualBreakCount="2">
    <brk id="81" max="12" man="1"/>
    <brk id="142" max="12" man="1"/>
  </rowBreaks>
  <drawing r:id="rId3"/>
  <extLst>
    <ext xmlns:x14="http://schemas.microsoft.com/office/spreadsheetml/2009/9/main" uri="{78C0D931-6437-407d-A8EE-F0AAD7539E65}">
      <x14:conditionalFormattings>
        <x14:conditionalFormatting xmlns:xm="http://schemas.microsoft.com/office/excel/2006/main">
          <x14:cfRule type="dataBar" id="{4F918F03-759B-40BA-A88B-680B640ED8F4}">
            <x14:dataBar minLength="0" maxLength="100" border="1" negativeBarBorderColorSameAsPositive="0">
              <x14:cfvo type="autoMin"/>
              <x14:cfvo type="autoMax"/>
              <x14:borderColor rgb="FF63C384"/>
              <x14:negativeFillColor rgb="FFFF0000"/>
              <x14:negativeBorderColor rgb="FFFF0000"/>
              <x14:axisColor rgb="FF000000"/>
            </x14:dataBar>
          </x14:cfRule>
          <xm:sqref>L54:L58</xm:sqref>
        </x14:conditionalFormatting>
        <x14:conditionalFormatting xmlns:xm="http://schemas.microsoft.com/office/excel/2006/main">
          <x14:cfRule type="dataBar" id="{2A1A8D49-D5EF-4887-A5B3-2AB7ABDC1709}">
            <x14:dataBar minLength="0" maxLength="100" border="1" negativeBarBorderColorSameAsPositive="0">
              <x14:cfvo type="autoMin"/>
              <x14:cfvo type="autoMax"/>
              <x14:borderColor rgb="FF63C384"/>
              <x14:negativeFillColor rgb="FFFF0000"/>
              <x14:negativeBorderColor rgb="FFFF0000"/>
              <x14:axisColor rgb="FF000000"/>
            </x14:dataBar>
          </x14:cfRule>
          <xm:sqref>H54:H58</xm:sqref>
        </x14:conditionalFormatting>
        <x14:conditionalFormatting xmlns:xm="http://schemas.microsoft.com/office/excel/2006/main">
          <x14:cfRule type="dataBar" id="{ABF07D87-9307-466F-B423-AD86C2B8D024}">
            <x14:dataBar minLength="0" maxLength="100" border="1" negativeBarBorderColorSameAsPositive="0">
              <x14:cfvo type="autoMin"/>
              <x14:cfvo type="autoMax"/>
              <x14:borderColor rgb="FF63C384"/>
              <x14:negativeFillColor rgb="FFFF0000"/>
              <x14:negativeBorderColor rgb="FFFF0000"/>
              <x14:axisColor rgb="FF000000"/>
            </x14:dataBar>
          </x14:cfRule>
          <xm:sqref>D54:D58</xm:sqref>
        </x14:conditionalFormatting>
        <x14:conditionalFormatting xmlns:xm="http://schemas.microsoft.com/office/excel/2006/main">
          <x14:cfRule type="dataBar" id="{DFFD5CBF-4274-4041-81CA-88DEBFB189B6}">
            <x14:dataBar minLength="0" maxLength="100" border="1" negativeBarBorderColorSameAsPositive="0">
              <x14:cfvo type="autoMin"/>
              <x14:cfvo type="autoMax"/>
              <x14:borderColor rgb="FF63C384"/>
              <x14:negativeFillColor rgb="FFFF0000"/>
              <x14:negativeBorderColor rgb="FFFF0000"/>
              <x14:axisColor rgb="FF000000"/>
            </x14:dataBar>
          </x14:cfRule>
          <xm:sqref>D21:D49</xm:sqref>
        </x14:conditionalFormatting>
        <x14:conditionalFormatting xmlns:xm="http://schemas.microsoft.com/office/excel/2006/main">
          <x14:cfRule type="dataBar" id="{B448E95B-C6F8-453E-A3AE-249FD402675F}">
            <x14:dataBar minLength="0" maxLength="100" border="1" negativeBarBorderColorSameAsPositive="0">
              <x14:cfvo type="autoMin"/>
              <x14:cfvo type="autoMax"/>
              <x14:borderColor rgb="FF63C384"/>
              <x14:negativeFillColor rgb="FFFF0000"/>
              <x14:negativeBorderColor rgb="FFFF0000"/>
              <x14:axisColor rgb="FF000000"/>
            </x14:dataBar>
          </x14:cfRule>
          <xm:sqref>H21:H49</xm:sqref>
        </x14:conditionalFormatting>
        <x14:conditionalFormatting xmlns:xm="http://schemas.microsoft.com/office/excel/2006/main">
          <x14:cfRule type="dataBar" id="{174E35D5-C436-4A14-886C-5B51743A4A33}">
            <x14:dataBar minLength="0" maxLength="100" border="1" negativeBarBorderColorSameAsPositive="0">
              <x14:cfvo type="autoMin"/>
              <x14:cfvo type="autoMax"/>
              <x14:borderColor rgb="FF63C384"/>
              <x14:negativeFillColor rgb="FFFF0000"/>
              <x14:negativeBorderColor rgb="FFFF0000"/>
              <x14:axisColor rgb="FF000000"/>
            </x14:dataBar>
          </x14:cfRule>
          <xm:sqref>L21:L49</xm:sqref>
        </x14:conditionalFormatting>
        <x14:conditionalFormatting xmlns:xm="http://schemas.microsoft.com/office/excel/2006/main">
          <x14:cfRule type="dataBar" id="{08133580-B0A9-4829-94F8-8E3826767F44}">
            <x14:dataBar minLength="0" maxLength="100" border="1" negativeBarBorderColorSameAsPositive="0">
              <x14:cfvo type="autoMin"/>
              <x14:cfvo type="autoMax"/>
              <x14:borderColor rgb="FF63C384"/>
              <x14:negativeFillColor rgb="FFFF0000"/>
              <x14:negativeBorderColor rgb="FFFF0000"/>
              <x14:axisColor rgb="FF000000"/>
            </x14:dataBar>
          </x14:cfRule>
          <xm:sqref>D65:D68</xm:sqref>
        </x14:conditionalFormatting>
        <x14:conditionalFormatting xmlns:xm="http://schemas.microsoft.com/office/excel/2006/main">
          <x14:cfRule type="dataBar" id="{ECAE5CCC-EF50-49AE-93EF-FD70ED20A078}">
            <x14:dataBar minLength="0" maxLength="100" border="1" negativeBarBorderColorSameAsPositive="0">
              <x14:cfvo type="autoMin"/>
              <x14:cfvo type="autoMax"/>
              <x14:borderColor rgb="FF63C384"/>
              <x14:negativeFillColor rgb="FFFF0000"/>
              <x14:negativeBorderColor rgb="FFFF0000"/>
              <x14:axisColor rgb="FF000000"/>
            </x14:dataBar>
          </x14:cfRule>
          <xm:sqref>H65:H68</xm:sqref>
        </x14:conditionalFormatting>
        <x14:conditionalFormatting xmlns:xm="http://schemas.microsoft.com/office/excel/2006/main">
          <x14:cfRule type="dataBar" id="{1B7AB26F-0845-4547-BD62-D24C8DBDA6E0}">
            <x14:dataBar minLength="0" maxLength="100" border="1" negativeBarBorderColorSameAsPositive="0">
              <x14:cfvo type="autoMin"/>
              <x14:cfvo type="autoMax"/>
              <x14:borderColor rgb="FF63C384"/>
              <x14:negativeFillColor rgb="FFFF0000"/>
              <x14:negativeBorderColor rgb="FFFF0000"/>
              <x14:axisColor rgb="FF000000"/>
            </x14:dataBar>
          </x14:cfRule>
          <xm:sqref>L65:L68</xm:sqref>
        </x14:conditionalFormatting>
        <x14:conditionalFormatting xmlns:xm="http://schemas.microsoft.com/office/excel/2006/main">
          <x14:cfRule type="dataBar" id="{9A9F3E77-62BD-4925-AD96-C63EE6A7EA02}">
            <x14:dataBar minLength="0" maxLength="100" border="1" negativeBarBorderColorSameAsPositive="0">
              <x14:cfvo type="autoMin"/>
              <x14:cfvo type="autoMax"/>
              <x14:borderColor rgb="FF63C384"/>
              <x14:negativeFillColor rgb="FFFF0000"/>
              <x14:negativeBorderColor rgb="FFFF0000"/>
              <x14:axisColor rgb="FF000000"/>
            </x14:dataBar>
          </x14:cfRule>
          <xm:sqref>D75:D76</xm:sqref>
        </x14:conditionalFormatting>
        <x14:conditionalFormatting xmlns:xm="http://schemas.microsoft.com/office/excel/2006/main">
          <x14:cfRule type="dataBar" id="{53A66F99-7791-46CD-89E7-7346DA69D8CA}">
            <x14:dataBar minLength="0" maxLength="100" border="1" negativeBarBorderColorSameAsPositive="0">
              <x14:cfvo type="autoMin"/>
              <x14:cfvo type="autoMax"/>
              <x14:borderColor rgb="FF63C384"/>
              <x14:negativeFillColor rgb="FFFF0000"/>
              <x14:negativeBorderColor rgb="FFFF0000"/>
              <x14:axisColor rgb="FF000000"/>
            </x14:dataBar>
          </x14:cfRule>
          <xm:sqref>H75:H76</xm:sqref>
        </x14:conditionalFormatting>
        <x14:conditionalFormatting xmlns:xm="http://schemas.microsoft.com/office/excel/2006/main">
          <x14:cfRule type="dataBar" id="{1258B422-5B4F-4689-A016-B7CC44E6DC3E}">
            <x14:dataBar minLength="0" maxLength="100" border="1" negativeBarBorderColorSameAsPositive="0">
              <x14:cfvo type="autoMin"/>
              <x14:cfvo type="autoMax"/>
              <x14:borderColor rgb="FF63C384"/>
              <x14:negativeFillColor rgb="FFFF0000"/>
              <x14:negativeBorderColor rgb="FFFF0000"/>
              <x14:axisColor rgb="FF000000"/>
            </x14:dataBar>
          </x14:cfRule>
          <xm:sqref>L75:L76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J37"/>
  <sheetViews>
    <sheetView zoomScale="90" zoomScaleNormal="90" workbookViewId="0">
      <selection activeCell="C19" sqref="C19"/>
    </sheetView>
  </sheetViews>
  <sheetFormatPr defaultColWidth="9.140625" defaultRowHeight="15"/>
  <cols>
    <col min="1" max="1" width="25.85546875" style="6" bestFit="1" customWidth="1"/>
    <col min="2" max="2" width="13.42578125" style="6" bestFit="1" customWidth="1"/>
    <col min="3" max="3" width="4.7109375" style="6" customWidth="1"/>
    <col min="4" max="4" width="17" style="6" customWidth="1"/>
    <col min="5" max="5" width="10.5703125" style="11" hidden="1" customWidth="1"/>
    <col min="6" max="6" width="10.5703125" style="11" customWidth="1"/>
    <col min="7" max="7" width="11.28515625" style="6" bestFit="1" customWidth="1"/>
    <col min="8" max="8" width="4.7109375" style="6" customWidth="1"/>
    <col min="9" max="9" width="20" style="6" bestFit="1" customWidth="1"/>
    <col min="10" max="10" width="15.42578125" style="11" hidden="1" customWidth="1"/>
    <col min="11" max="11" width="10.5703125" style="11" customWidth="1"/>
    <col min="12" max="12" width="11.28515625" style="6" bestFit="1" customWidth="1"/>
    <col min="13" max="13" width="4.7109375" style="6" customWidth="1"/>
    <col min="14" max="14" width="17.42578125" style="6" bestFit="1" customWidth="1"/>
    <col min="15" max="15" width="18.85546875" style="6" bestFit="1" customWidth="1"/>
    <col min="16" max="16" width="13.5703125" style="12" hidden="1" customWidth="1"/>
    <col min="17" max="17" width="11.85546875" style="12" customWidth="1"/>
    <col min="18" max="18" width="11.28515625" style="6" bestFit="1" customWidth="1"/>
    <col min="19" max="16384" width="9.140625" style="6"/>
  </cols>
  <sheetData>
    <row r="1" spans="1:18" ht="15" customHeight="1">
      <c r="A1" s="745" t="s">
        <v>324</v>
      </c>
      <c r="B1" s="746"/>
      <c r="C1" s="746"/>
      <c r="D1" s="746"/>
      <c r="E1" s="746"/>
      <c r="F1" s="746"/>
      <c r="G1" s="746"/>
      <c r="H1" s="746"/>
      <c r="I1" s="746"/>
      <c r="J1" s="746"/>
      <c r="K1" s="746"/>
      <c r="L1" s="746"/>
      <c r="M1" s="746"/>
      <c r="N1" s="746"/>
      <c r="O1" s="746"/>
      <c r="P1" s="746"/>
      <c r="Q1" s="746"/>
      <c r="R1" s="746"/>
    </row>
    <row r="2" spans="1:18" ht="15.75" customHeight="1">
      <c r="A2" s="745"/>
      <c r="B2" s="746"/>
      <c r="C2" s="746"/>
      <c r="D2" s="746"/>
      <c r="E2" s="746"/>
      <c r="F2" s="746"/>
      <c r="G2" s="746"/>
      <c r="H2" s="746"/>
      <c r="I2" s="746"/>
      <c r="J2" s="746"/>
      <c r="K2" s="746"/>
      <c r="L2" s="746"/>
      <c r="M2" s="746"/>
      <c r="N2" s="746"/>
      <c r="O2" s="746"/>
      <c r="P2" s="746"/>
      <c r="Q2" s="746"/>
      <c r="R2" s="746"/>
    </row>
    <row r="3" spans="1:18" ht="15.75" thickBot="1">
      <c r="A3" s="745"/>
      <c r="B3" s="746"/>
      <c r="C3" s="746"/>
      <c r="D3" s="746"/>
      <c r="E3" s="746"/>
      <c r="F3" s="746"/>
      <c r="G3" s="746"/>
      <c r="H3" s="746"/>
      <c r="I3" s="746"/>
      <c r="J3" s="746"/>
      <c r="K3" s="746"/>
      <c r="L3" s="746"/>
      <c r="M3" s="746"/>
      <c r="N3" s="746"/>
      <c r="O3" s="746"/>
      <c r="P3" s="746"/>
      <c r="Q3" s="746"/>
      <c r="R3" s="746"/>
    </row>
    <row r="4" spans="1:18" ht="18.75" customHeight="1" thickBot="1">
      <c r="A4" s="213" t="s">
        <v>679</v>
      </c>
      <c r="B4" s="214" t="s">
        <v>81</v>
      </c>
      <c r="C4" s="214"/>
      <c r="D4" s="214" t="s">
        <v>675</v>
      </c>
      <c r="E4" s="215" t="s">
        <v>288</v>
      </c>
      <c r="F4" s="215"/>
      <c r="G4" s="214" t="s">
        <v>134</v>
      </c>
      <c r="H4" s="214"/>
      <c r="I4" s="214" t="s">
        <v>676</v>
      </c>
      <c r="J4" s="215" t="s">
        <v>289</v>
      </c>
      <c r="K4" s="215"/>
      <c r="L4" s="214" t="s">
        <v>134</v>
      </c>
      <c r="M4" s="214"/>
      <c r="N4" s="214"/>
      <c r="O4" s="214" t="s">
        <v>677</v>
      </c>
      <c r="P4" s="215"/>
      <c r="Q4" s="215"/>
      <c r="R4" s="216" t="s">
        <v>134</v>
      </c>
    </row>
    <row r="5" spans="1:18" ht="18.75" customHeight="1">
      <c r="A5" s="25"/>
      <c r="B5" s="26"/>
      <c r="C5" s="26"/>
      <c r="D5" s="168" t="s">
        <v>143</v>
      </c>
      <c r="E5" s="165"/>
      <c r="F5" s="27"/>
      <c r="G5" s="28"/>
      <c r="H5" s="169"/>
      <c r="I5" s="168" t="s">
        <v>143</v>
      </c>
      <c r="J5" s="165"/>
      <c r="K5" s="27"/>
      <c r="L5" s="28"/>
      <c r="M5" s="169"/>
      <c r="N5" s="74"/>
      <c r="O5" s="168" t="s">
        <v>143</v>
      </c>
      <c r="P5" s="211"/>
      <c r="Q5" s="263"/>
      <c r="R5" s="212"/>
    </row>
    <row r="6" spans="1:18" ht="18.75" customHeight="1">
      <c r="A6" s="25" t="s">
        <v>95</v>
      </c>
      <c r="B6" s="26" t="s">
        <v>92</v>
      </c>
      <c r="C6" s="26"/>
      <c r="D6" s="351">
        <v>0</v>
      </c>
      <c r="E6" s="144">
        <f>'Crop Budget (Main)'!$C$11</f>
        <v>1</v>
      </c>
      <c r="F6" s="27"/>
      <c r="G6" s="28">
        <f>D6/E6</f>
        <v>0</v>
      </c>
      <c r="H6" s="169"/>
      <c r="I6" s="351">
        <v>0</v>
      </c>
      <c r="J6" s="144">
        <f>'Crop Budget (Main)'!$G$11</f>
        <v>1</v>
      </c>
      <c r="K6" s="27"/>
      <c r="L6" s="28">
        <f>I6/J6</f>
        <v>0</v>
      </c>
      <c r="M6" s="169"/>
      <c r="N6" s="74"/>
      <c r="O6" s="351">
        <v>0</v>
      </c>
      <c r="P6" s="144">
        <f>'Crop Budget (Main)'!$K$11</f>
        <v>1</v>
      </c>
      <c r="Q6" s="262"/>
      <c r="R6" s="29">
        <f>O6/P6</f>
        <v>0</v>
      </c>
    </row>
    <row r="7" spans="1:18" ht="18.75" customHeight="1">
      <c r="A7" s="25" t="s">
        <v>100</v>
      </c>
      <c r="B7" s="26" t="s">
        <v>92</v>
      </c>
      <c r="C7" s="26"/>
      <c r="D7" s="351">
        <v>0</v>
      </c>
      <c r="E7" s="144">
        <f>'Crop Budget (Main)'!$C$11</f>
        <v>1</v>
      </c>
      <c r="F7" s="27"/>
      <c r="G7" s="28">
        <f>D7/E7</f>
        <v>0</v>
      </c>
      <c r="H7" s="169"/>
      <c r="I7" s="351">
        <v>0</v>
      </c>
      <c r="J7" s="144">
        <f>'Crop Budget (Main)'!$G$11</f>
        <v>1</v>
      </c>
      <c r="K7" s="27"/>
      <c r="L7" s="28">
        <f>I7/J7</f>
        <v>0</v>
      </c>
      <c r="M7" s="169"/>
      <c r="N7" s="74"/>
      <c r="O7" s="351">
        <v>0</v>
      </c>
      <c r="P7" s="144">
        <f>'Crop Budget (Main)'!$K$11</f>
        <v>1</v>
      </c>
      <c r="Q7" s="262"/>
      <c r="R7" s="29">
        <f>O7/P7</f>
        <v>0</v>
      </c>
    </row>
    <row r="8" spans="1:18" ht="18.75" customHeight="1">
      <c r="A8" s="25" t="s">
        <v>353</v>
      </c>
      <c r="B8" s="26" t="s">
        <v>92</v>
      </c>
      <c r="C8" s="26"/>
      <c r="D8" s="351">
        <v>0</v>
      </c>
      <c r="E8" s="144">
        <f>'Crop Budget (Main)'!$C$11</f>
        <v>1</v>
      </c>
      <c r="F8" s="27"/>
      <c r="G8" s="28">
        <f t="shared" ref="G8:G28" si="0">D8/E8</f>
        <v>0</v>
      </c>
      <c r="H8" s="169"/>
      <c r="I8" s="351">
        <v>0</v>
      </c>
      <c r="J8" s="144">
        <f>'Crop Budget (Main)'!$G$11</f>
        <v>1</v>
      </c>
      <c r="K8" s="27"/>
      <c r="L8" s="28">
        <f t="shared" ref="L8:L28" si="1">I8/J8</f>
        <v>0</v>
      </c>
      <c r="M8" s="169"/>
      <c r="N8" s="74"/>
      <c r="O8" s="351">
        <v>0</v>
      </c>
      <c r="P8" s="144">
        <f>'Crop Budget (Main)'!$K$11</f>
        <v>1</v>
      </c>
      <c r="Q8" s="262"/>
      <c r="R8" s="29">
        <f t="shared" ref="R8:R28" si="2">O8/P8</f>
        <v>0</v>
      </c>
    </row>
    <row r="9" spans="1:18" ht="18.75" customHeight="1">
      <c r="A9" s="25" t="s">
        <v>106</v>
      </c>
      <c r="B9" s="26" t="s">
        <v>92</v>
      </c>
      <c r="C9" s="26"/>
      <c r="D9" s="351">
        <v>0</v>
      </c>
      <c r="E9" s="144">
        <f>'Crop Budget (Main)'!$C$11</f>
        <v>1</v>
      </c>
      <c r="F9" s="27"/>
      <c r="G9" s="28">
        <f t="shared" si="0"/>
        <v>0</v>
      </c>
      <c r="H9" s="169"/>
      <c r="I9" s="351">
        <v>0</v>
      </c>
      <c r="J9" s="144">
        <f>'Crop Budget (Main)'!$G$11</f>
        <v>1</v>
      </c>
      <c r="K9" s="27"/>
      <c r="L9" s="28">
        <f t="shared" si="1"/>
        <v>0</v>
      </c>
      <c r="M9" s="169"/>
      <c r="N9" s="74"/>
      <c r="O9" s="351">
        <v>0</v>
      </c>
      <c r="P9" s="144">
        <f>'Crop Budget (Main)'!$K$11</f>
        <v>1</v>
      </c>
      <c r="Q9" s="262"/>
      <c r="R9" s="29">
        <f t="shared" si="2"/>
        <v>0</v>
      </c>
    </row>
    <row r="10" spans="1:18" ht="15.75">
      <c r="A10" s="25" t="s">
        <v>102</v>
      </c>
      <c r="B10" s="26"/>
      <c r="C10" s="26"/>
      <c r="D10" s="167"/>
      <c r="E10" s="144"/>
      <c r="F10" s="27"/>
      <c r="G10" s="28"/>
      <c r="H10" s="169"/>
      <c r="I10" s="167"/>
      <c r="J10" s="144"/>
      <c r="K10" s="27"/>
      <c r="L10" s="28"/>
      <c r="M10" s="169"/>
      <c r="N10" s="74"/>
      <c r="O10" s="167"/>
      <c r="P10" s="144"/>
      <c r="Q10" s="262"/>
      <c r="R10" s="29"/>
    </row>
    <row r="11" spans="1:18" ht="15.75">
      <c r="A11" s="30" t="s">
        <v>103</v>
      </c>
      <c r="B11" s="26" t="s">
        <v>92</v>
      </c>
      <c r="C11" s="26"/>
      <c r="D11" s="351">
        <v>0</v>
      </c>
      <c r="E11" s="144">
        <f>'Crop Budget (Main)'!$C$11</f>
        <v>1</v>
      </c>
      <c r="F11" s="27"/>
      <c r="G11" s="28">
        <f t="shared" si="0"/>
        <v>0</v>
      </c>
      <c r="H11" s="169"/>
      <c r="I11" s="351">
        <v>0</v>
      </c>
      <c r="J11" s="144">
        <f>'Crop Budget (Main)'!$G$11</f>
        <v>1</v>
      </c>
      <c r="K11" s="27"/>
      <c r="L11" s="28">
        <f t="shared" si="1"/>
        <v>0</v>
      </c>
      <c r="M11" s="169"/>
      <c r="N11" s="74"/>
      <c r="O11" s="351">
        <v>0</v>
      </c>
      <c r="P11" s="144">
        <f>'Crop Budget (Main)'!$K$11</f>
        <v>1</v>
      </c>
      <c r="Q11" s="262"/>
      <c r="R11" s="29">
        <f t="shared" si="2"/>
        <v>0</v>
      </c>
    </row>
    <row r="12" spans="1:18" ht="15.75">
      <c r="A12" s="30" t="s">
        <v>104</v>
      </c>
      <c r="B12" s="26" t="s">
        <v>92</v>
      </c>
      <c r="C12" s="26"/>
      <c r="D12" s="351">
        <v>0</v>
      </c>
      <c r="E12" s="144">
        <f>'Crop Budget (Main)'!$C$11</f>
        <v>1</v>
      </c>
      <c r="F12" s="27"/>
      <c r="G12" s="28">
        <f t="shared" si="0"/>
        <v>0</v>
      </c>
      <c r="H12" s="169"/>
      <c r="I12" s="351">
        <v>0</v>
      </c>
      <c r="J12" s="144">
        <f>'Crop Budget (Main)'!$G$11</f>
        <v>1</v>
      </c>
      <c r="K12" s="27"/>
      <c r="L12" s="28">
        <f t="shared" si="1"/>
        <v>0</v>
      </c>
      <c r="M12" s="169"/>
      <c r="N12" s="74"/>
      <c r="O12" s="351">
        <v>0</v>
      </c>
      <c r="P12" s="144">
        <f>'Crop Budget (Main)'!$K$11</f>
        <v>1</v>
      </c>
      <c r="Q12" s="262"/>
      <c r="R12" s="29">
        <f t="shared" si="2"/>
        <v>0</v>
      </c>
    </row>
    <row r="13" spans="1:18" ht="15.75">
      <c r="A13" s="25" t="s">
        <v>105</v>
      </c>
      <c r="D13" s="167"/>
      <c r="E13" s="144"/>
      <c r="F13" s="27"/>
      <c r="G13" s="28"/>
      <c r="H13" s="169"/>
      <c r="I13" s="167"/>
      <c r="J13" s="144"/>
      <c r="K13" s="27"/>
      <c r="L13" s="28"/>
      <c r="M13" s="169"/>
      <c r="N13" s="74"/>
      <c r="O13" s="167"/>
      <c r="P13" s="144"/>
      <c r="Q13" s="262"/>
      <c r="R13" s="29"/>
    </row>
    <row r="14" spans="1:18" ht="18.75" customHeight="1">
      <c r="A14" s="131" t="s">
        <v>354</v>
      </c>
      <c r="B14" s="26" t="s">
        <v>92</v>
      </c>
      <c r="C14" s="26"/>
      <c r="D14" s="351">
        <v>0</v>
      </c>
      <c r="E14" s="144">
        <f>'Crop Budget (Main)'!$C$11</f>
        <v>1</v>
      </c>
      <c r="F14" s="27"/>
      <c r="G14" s="28">
        <f t="shared" si="0"/>
        <v>0</v>
      </c>
      <c r="H14" s="169"/>
      <c r="I14" s="351">
        <v>0</v>
      </c>
      <c r="J14" s="144">
        <f>'Crop Budget (Main)'!$G$11</f>
        <v>1</v>
      </c>
      <c r="K14" s="27"/>
      <c r="L14" s="28">
        <f t="shared" si="1"/>
        <v>0</v>
      </c>
      <c r="M14" s="169"/>
      <c r="N14" s="74"/>
      <c r="O14" s="351">
        <v>0</v>
      </c>
      <c r="P14" s="144">
        <f>'Crop Budget (Main)'!$K$11</f>
        <v>1</v>
      </c>
      <c r="Q14" s="262"/>
      <c r="R14" s="29">
        <f t="shared" si="2"/>
        <v>0</v>
      </c>
    </row>
    <row r="15" spans="1:18" ht="18.75" customHeight="1">
      <c r="A15" s="131" t="s">
        <v>355</v>
      </c>
      <c r="B15" s="26" t="s">
        <v>92</v>
      </c>
      <c r="D15" s="351">
        <v>0</v>
      </c>
      <c r="E15" s="144">
        <f>'Crop Budget (Main)'!$C$11</f>
        <v>1</v>
      </c>
      <c r="F15" s="27"/>
      <c r="G15" s="28">
        <f t="shared" si="0"/>
        <v>0</v>
      </c>
      <c r="H15" s="169"/>
      <c r="I15" s="351">
        <v>0</v>
      </c>
      <c r="J15" s="144">
        <f>'Crop Budget (Main)'!$G$11</f>
        <v>1</v>
      </c>
      <c r="K15" s="27"/>
      <c r="L15" s="28">
        <f t="shared" si="1"/>
        <v>0</v>
      </c>
      <c r="M15" s="169"/>
      <c r="N15" s="74"/>
      <c r="O15" s="351">
        <v>0</v>
      </c>
      <c r="P15" s="144">
        <f>'Crop Budget (Main)'!$K$11</f>
        <v>1</v>
      </c>
      <c r="Q15" s="262"/>
      <c r="R15" s="29">
        <f t="shared" si="2"/>
        <v>0</v>
      </c>
    </row>
    <row r="16" spans="1:18" ht="18.75" customHeight="1">
      <c r="A16" s="25" t="s">
        <v>97</v>
      </c>
      <c r="B16" s="26"/>
      <c r="C16" s="26"/>
      <c r="D16" s="167"/>
      <c r="E16" s="144"/>
      <c r="F16" s="27"/>
      <c r="G16" s="28"/>
      <c r="H16" s="169"/>
      <c r="I16" s="167"/>
      <c r="J16" s="144"/>
      <c r="K16" s="27"/>
      <c r="L16" s="28"/>
      <c r="M16" s="169"/>
      <c r="N16" s="74"/>
      <c r="O16" s="167"/>
      <c r="P16" s="144"/>
      <c r="Q16" s="262"/>
      <c r="R16" s="29"/>
    </row>
    <row r="17" spans="1:36" ht="18.75" customHeight="1">
      <c r="A17" s="30" t="s">
        <v>98</v>
      </c>
      <c r="B17" s="26" t="s">
        <v>92</v>
      </c>
      <c r="C17" s="26"/>
      <c r="D17" s="351">
        <v>0</v>
      </c>
      <c r="E17" s="144">
        <f>'Crop Budget (Main)'!$C$11</f>
        <v>1</v>
      </c>
      <c r="F17" s="27"/>
      <c r="G17" s="28">
        <f t="shared" si="0"/>
        <v>0</v>
      </c>
      <c r="H17" s="169"/>
      <c r="I17" s="351">
        <v>0</v>
      </c>
      <c r="J17" s="144">
        <f>'Crop Budget (Main)'!$G$11</f>
        <v>1</v>
      </c>
      <c r="K17" s="27"/>
      <c r="L17" s="28">
        <f t="shared" si="1"/>
        <v>0</v>
      </c>
      <c r="M17" s="169"/>
      <c r="N17" s="74"/>
      <c r="O17" s="351">
        <v>0</v>
      </c>
      <c r="P17" s="144">
        <f>'Crop Budget (Main)'!$K$11</f>
        <v>1</v>
      </c>
      <c r="Q17" s="262"/>
      <c r="R17" s="29">
        <f t="shared" si="2"/>
        <v>0</v>
      </c>
    </row>
    <row r="18" spans="1:36" ht="18.75" customHeight="1">
      <c r="A18" s="30" t="s">
        <v>99</v>
      </c>
      <c r="B18" s="26" t="s">
        <v>92</v>
      </c>
      <c r="C18" s="26"/>
      <c r="D18" s="351">
        <v>0</v>
      </c>
      <c r="E18" s="144">
        <f>'Crop Budget (Main)'!$C$11</f>
        <v>1</v>
      </c>
      <c r="F18" s="27"/>
      <c r="G18" s="28">
        <f t="shared" si="0"/>
        <v>0</v>
      </c>
      <c r="H18" s="169"/>
      <c r="I18" s="351">
        <v>0</v>
      </c>
      <c r="J18" s="144">
        <f>'Crop Budget (Main)'!$G$11</f>
        <v>1</v>
      </c>
      <c r="K18" s="27"/>
      <c r="L18" s="28">
        <f t="shared" si="1"/>
        <v>0</v>
      </c>
      <c r="M18" s="169"/>
      <c r="N18" s="74"/>
      <c r="O18" s="351">
        <v>0</v>
      </c>
      <c r="P18" s="144">
        <f>'Crop Budget (Main)'!$K$11</f>
        <v>1</v>
      </c>
      <c r="Q18" s="262"/>
      <c r="R18" s="29">
        <f t="shared" si="2"/>
        <v>0</v>
      </c>
    </row>
    <row r="19" spans="1:36" ht="18.75" customHeight="1">
      <c r="A19" s="30" t="s">
        <v>287</v>
      </c>
      <c r="B19" s="26" t="s">
        <v>92</v>
      </c>
      <c r="C19" s="26"/>
      <c r="D19" s="351">
        <v>0</v>
      </c>
      <c r="E19" s="144">
        <f>'Crop Budget (Main)'!$C$11</f>
        <v>1</v>
      </c>
      <c r="F19" s="27"/>
      <c r="G19" s="28">
        <f t="shared" si="0"/>
        <v>0</v>
      </c>
      <c r="H19" s="169"/>
      <c r="I19" s="351">
        <v>0</v>
      </c>
      <c r="J19" s="144">
        <f>'Crop Budget (Main)'!$G$11</f>
        <v>1</v>
      </c>
      <c r="K19" s="27"/>
      <c r="L19" s="28">
        <f t="shared" si="1"/>
        <v>0</v>
      </c>
      <c r="M19" s="169"/>
      <c r="N19" s="74"/>
      <c r="O19" s="351">
        <v>0</v>
      </c>
      <c r="P19" s="144">
        <f>'Crop Budget (Main)'!$K$11</f>
        <v>1</v>
      </c>
      <c r="Q19" s="262"/>
      <c r="R19" s="29">
        <f t="shared" si="2"/>
        <v>0</v>
      </c>
    </row>
    <row r="20" spans="1:36" ht="18.75" customHeight="1">
      <c r="A20" s="25" t="s">
        <v>101</v>
      </c>
      <c r="B20" s="26" t="s">
        <v>92</v>
      </c>
      <c r="C20" s="26"/>
      <c r="D20" s="351">
        <v>0</v>
      </c>
      <c r="E20" s="144">
        <f>'Crop Budget (Main)'!$C$11</f>
        <v>1</v>
      </c>
      <c r="F20" s="27"/>
      <c r="G20" s="28">
        <f t="shared" ref="G20:G21" si="3">D20/E20</f>
        <v>0</v>
      </c>
      <c r="H20" s="169"/>
      <c r="I20" s="351">
        <v>0</v>
      </c>
      <c r="J20" s="144">
        <f>'Crop Budget (Main)'!$G$11</f>
        <v>1</v>
      </c>
      <c r="K20" s="27"/>
      <c r="L20" s="28">
        <f t="shared" ref="L20:L21" si="4">I20/J20</f>
        <v>0</v>
      </c>
      <c r="M20" s="169"/>
      <c r="N20" s="74"/>
      <c r="O20" s="351">
        <v>0</v>
      </c>
      <c r="P20" s="144">
        <f>'Crop Budget (Main)'!$K$11</f>
        <v>1</v>
      </c>
      <c r="Q20" s="262"/>
      <c r="R20" s="29">
        <f t="shared" ref="R20:R21" si="5">O20/P20</f>
        <v>0</v>
      </c>
    </row>
    <row r="21" spans="1:36" ht="18.75" customHeight="1">
      <c r="A21" s="25" t="s">
        <v>107</v>
      </c>
      <c r="B21" s="26" t="s">
        <v>92</v>
      </c>
      <c r="C21" s="26"/>
      <c r="D21" s="351">
        <v>0</v>
      </c>
      <c r="E21" s="144">
        <f>'Crop Budget (Main)'!$C$11</f>
        <v>1</v>
      </c>
      <c r="F21" s="27"/>
      <c r="G21" s="28">
        <f t="shared" si="3"/>
        <v>0</v>
      </c>
      <c r="H21" s="169"/>
      <c r="I21" s="351">
        <v>0</v>
      </c>
      <c r="J21" s="144">
        <f>'Crop Budget (Main)'!$G$11</f>
        <v>1</v>
      </c>
      <c r="K21" s="27"/>
      <c r="L21" s="28">
        <f t="shared" si="4"/>
        <v>0</v>
      </c>
      <c r="M21" s="169"/>
      <c r="N21" s="74"/>
      <c r="O21" s="351">
        <v>0</v>
      </c>
      <c r="P21" s="144">
        <f>'Crop Budget (Main)'!$K$11</f>
        <v>1</v>
      </c>
      <c r="Q21" s="262"/>
      <c r="R21" s="29">
        <f t="shared" si="5"/>
        <v>0</v>
      </c>
    </row>
    <row r="22" spans="1:36" ht="18.75" customHeight="1">
      <c r="A22" s="25" t="s">
        <v>108</v>
      </c>
      <c r="B22" s="26" t="s">
        <v>92</v>
      </c>
      <c r="C22" s="26"/>
      <c r="D22" s="351">
        <v>0</v>
      </c>
      <c r="E22" s="144">
        <f>'Crop Budget (Main)'!$C$11</f>
        <v>1</v>
      </c>
      <c r="F22" s="27"/>
      <c r="G22" s="28">
        <f t="shared" si="0"/>
        <v>0</v>
      </c>
      <c r="H22" s="169"/>
      <c r="I22" s="351">
        <v>0</v>
      </c>
      <c r="J22" s="144">
        <f>'Crop Budget (Main)'!$G$11</f>
        <v>1</v>
      </c>
      <c r="K22" s="27"/>
      <c r="L22" s="28">
        <f t="shared" si="1"/>
        <v>0</v>
      </c>
      <c r="M22" s="169"/>
      <c r="N22" s="74"/>
      <c r="O22" s="351">
        <v>0</v>
      </c>
      <c r="P22" s="144">
        <f>'Crop Budget (Main)'!$K$11</f>
        <v>1</v>
      </c>
      <c r="Q22" s="262"/>
      <c r="R22" s="29">
        <f t="shared" si="2"/>
        <v>0</v>
      </c>
    </row>
    <row r="23" spans="1:36" ht="18.75" customHeight="1">
      <c r="A23" s="25" t="s">
        <v>109</v>
      </c>
      <c r="B23" s="26"/>
      <c r="C23" s="26"/>
      <c r="D23" s="167"/>
      <c r="E23" s="144"/>
      <c r="F23" s="27"/>
      <c r="G23" s="28"/>
      <c r="H23" s="169"/>
      <c r="I23" s="167"/>
      <c r="J23" s="144"/>
      <c r="K23" s="27"/>
      <c r="L23" s="28"/>
      <c r="M23" s="169"/>
      <c r="N23" s="74"/>
      <c r="O23" s="167"/>
      <c r="P23" s="144"/>
      <c r="Q23" s="262"/>
      <c r="R23" s="29"/>
    </row>
    <row r="24" spans="1:36" ht="18.75" customHeight="1">
      <c r="A24" s="30" t="s">
        <v>129</v>
      </c>
      <c r="B24" s="26" t="s">
        <v>92</v>
      </c>
      <c r="C24" s="26"/>
      <c r="D24" s="351">
        <v>0</v>
      </c>
      <c r="E24" s="144">
        <f>'Crop Budget (Main)'!$C$11</f>
        <v>1</v>
      </c>
      <c r="F24" s="27"/>
      <c r="G24" s="28">
        <f t="shared" si="0"/>
        <v>0</v>
      </c>
      <c r="H24" s="169"/>
      <c r="I24" s="351">
        <v>0</v>
      </c>
      <c r="J24" s="144">
        <f>'Crop Budget (Main)'!$G$11</f>
        <v>1</v>
      </c>
      <c r="K24" s="27"/>
      <c r="L24" s="28">
        <f t="shared" si="1"/>
        <v>0</v>
      </c>
      <c r="M24" s="169"/>
      <c r="N24" s="74"/>
      <c r="O24" s="351">
        <v>0</v>
      </c>
      <c r="P24" s="144">
        <f>'Crop Budget (Main)'!$K$11</f>
        <v>1</v>
      </c>
      <c r="Q24" s="262"/>
      <c r="R24" s="29">
        <f t="shared" si="2"/>
        <v>0</v>
      </c>
    </row>
    <row r="25" spans="1:36" ht="18.75" customHeight="1">
      <c r="A25" s="30" t="s">
        <v>130</v>
      </c>
      <c r="B25" s="26" t="s">
        <v>92</v>
      </c>
      <c r="C25" s="26"/>
      <c r="D25" s="351">
        <v>0</v>
      </c>
      <c r="E25" s="144">
        <f>'Crop Budget (Main)'!$C$11</f>
        <v>1</v>
      </c>
      <c r="F25" s="27"/>
      <c r="G25" s="28">
        <f t="shared" si="0"/>
        <v>0</v>
      </c>
      <c r="H25" s="169"/>
      <c r="I25" s="351">
        <v>0</v>
      </c>
      <c r="J25" s="144">
        <f>'Crop Budget (Main)'!$G$11</f>
        <v>1</v>
      </c>
      <c r="K25" s="27"/>
      <c r="L25" s="28">
        <f t="shared" si="1"/>
        <v>0</v>
      </c>
      <c r="M25" s="169"/>
      <c r="N25" s="74"/>
      <c r="O25" s="351">
        <v>0</v>
      </c>
      <c r="P25" s="144">
        <f>'Crop Budget (Main)'!$K$11</f>
        <v>1</v>
      </c>
      <c r="Q25" s="262"/>
      <c r="R25" s="29">
        <f t="shared" si="2"/>
        <v>0</v>
      </c>
    </row>
    <row r="26" spans="1:36" ht="18.75" customHeight="1">
      <c r="A26" s="25" t="s">
        <v>495</v>
      </c>
      <c r="B26" s="26" t="s">
        <v>92</v>
      </c>
      <c r="C26" s="26"/>
      <c r="D26" s="351">
        <v>0</v>
      </c>
      <c r="E26" s="144">
        <f>'Crop Budget (Main)'!$C$11</f>
        <v>1</v>
      </c>
      <c r="F26" s="27"/>
      <c r="G26" s="28">
        <f t="shared" si="0"/>
        <v>0</v>
      </c>
      <c r="H26" s="169"/>
      <c r="I26" s="351">
        <v>0</v>
      </c>
      <c r="J26" s="144">
        <f>'Crop Budget (Main)'!$G$11</f>
        <v>1</v>
      </c>
      <c r="K26" s="27"/>
      <c r="L26" s="28">
        <f t="shared" si="1"/>
        <v>0</v>
      </c>
      <c r="M26" s="169"/>
      <c r="N26" s="74"/>
      <c r="O26" s="351">
        <v>0</v>
      </c>
      <c r="P26" s="144">
        <f>'Crop Budget (Main)'!$K$11</f>
        <v>1</v>
      </c>
      <c r="Q26" s="262"/>
      <c r="R26" s="29">
        <f t="shared" si="2"/>
        <v>0</v>
      </c>
    </row>
    <row r="27" spans="1:36" ht="18.75" customHeight="1">
      <c r="A27" s="25" t="s">
        <v>493</v>
      </c>
      <c r="B27" s="26" t="s">
        <v>325</v>
      </c>
      <c r="C27" s="26"/>
      <c r="D27" s="351">
        <v>0</v>
      </c>
      <c r="E27" s="144">
        <f>'Crop Budget (Main)'!$C$11</f>
        <v>1</v>
      </c>
      <c r="F27" s="27"/>
      <c r="G27" s="28">
        <f t="shared" si="0"/>
        <v>0</v>
      </c>
      <c r="H27" s="169"/>
      <c r="I27" s="351">
        <v>0</v>
      </c>
      <c r="J27" s="144">
        <f>'Crop Budget (Main)'!$G$11</f>
        <v>1</v>
      </c>
      <c r="K27" s="27"/>
      <c r="L27" s="28">
        <f t="shared" si="1"/>
        <v>0</v>
      </c>
      <c r="M27" s="169"/>
      <c r="N27" s="74"/>
      <c r="O27" s="351">
        <v>0</v>
      </c>
      <c r="P27" s="144">
        <f>'Crop Budget (Main)'!$K$11</f>
        <v>1</v>
      </c>
      <c r="Q27" s="262"/>
      <c r="R27" s="29">
        <f t="shared" si="2"/>
        <v>0</v>
      </c>
    </row>
    <row r="28" spans="1:36" ht="18.75" customHeight="1">
      <c r="A28" s="25" t="s">
        <v>494</v>
      </c>
      <c r="B28" s="26" t="s">
        <v>92</v>
      </c>
      <c r="C28" s="26"/>
      <c r="D28" s="351">
        <v>0</v>
      </c>
      <c r="E28" s="144">
        <f>'Crop Budget (Main)'!$C$11</f>
        <v>1</v>
      </c>
      <c r="F28" s="27"/>
      <c r="G28" s="28">
        <f t="shared" si="0"/>
        <v>0</v>
      </c>
      <c r="H28" s="169"/>
      <c r="I28" s="351">
        <v>0</v>
      </c>
      <c r="J28" s="144">
        <f>'Crop Budget (Main)'!$G$11</f>
        <v>1</v>
      </c>
      <c r="K28" s="27"/>
      <c r="L28" s="28">
        <f t="shared" si="1"/>
        <v>0</v>
      </c>
      <c r="M28" s="169"/>
      <c r="N28" s="74"/>
      <c r="O28" s="351">
        <v>0</v>
      </c>
      <c r="P28" s="144">
        <f>'Crop Budget (Main)'!$K$11</f>
        <v>1</v>
      </c>
      <c r="Q28" s="262"/>
      <c r="R28" s="29">
        <f t="shared" si="2"/>
        <v>0</v>
      </c>
    </row>
    <row r="29" spans="1:36" ht="18.75" customHeight="1" thickBot="1">
      <c r="A29" s="25"/>
      <c r="B29" s="26"/>
      <c r="C29" s="26"/>
      <c r="D29" s="166"/>
      <c r="E29" s="134"/>
      <c r="F29" s="135"/>
      <c r="G29" s="28"/>
      <c r="H29" s="74"/>
      <c r="I29" s="166"/>
      <c r="J29" s="134"/>
      <c r="K29" s="135"/>
      <c r="L29" s="28"/>
      <c r="M29" s="74"/>
      <c r="N29" s="74"/>
      <c r="O29" s="166"/>
      <c r="P29" s="134"/>
      <c r="Q29" s="262"/>
      <c r="R29" s="29"/>
    </row>
    <row r="30" spans="1:36" ht="18.75" customHeight="1" thickBot="1">
      <c r="A30" s="213" t="s">
        <v>680</v>
      </c>
      <c r="B30" s="214" t="s">
        <v>81</v>
      </c>
      <c r="C30" s="214"/>
      <c r="D30" s="214" t="s">
        <v>675</v>
      </c>
      <c r="E30" s="215" t="s">
        <v>288</v>
      </c>
      <c r="F30" s="215"/>
      <c r="G30" s="214" t="s">
        <v>134</v>
      </c>
      <c r="H30" s="214"/>
      <c r="I30" s="214" t="s">
        <v>676</v>
      </c>
      <c r="J30" s="215" t="s">
        <v>289</v>
      </c>
      <c r="K30" s="215"/>
      <c r="L30" s="214" t="s">
        <v>134</v>
      </c>
      <c r="M30" s="214"/>
      <c r="N30" s="214"/>
      <c r="O30" s="214" t="s">
        <v>677</v>
      </c>
      <c r="P30" s="215"/>
      <c r="Q30" s="215"/>
      <c r="R30" s="216" t="s">
        <v>134</v>
      </c>
    </row>
    <row r="31" spans="1:36" ht="18.75" customHeight="1">
      <c r="A31" s="25"/>
      <c r="B31" s="26"/>
      <c r="C31" s="26"/>
      <c r="D31" s="168" t="s">
        <v>143</v>
      </c>
      <c r="E31" s="165"/>
      <c r="F31" s="27"/>
      <c r="G31" s="28"/>
      <c r="H31" s="169"/>
      <c r="I31" s="168" t="s">
        <v>143</v>
      </c>
      <c r="J31" s="165"/>
      <c r="K31" s="27"/>
      <c r="L31" s="28"/>
      <c r="M31" s="169"/>
      <c r="N31" s="74"/>
      <c r="O31" s="168" t="s">
        <v>143</v>
      </c>
      <c r="P31" s="211"/>
      <c r="Q31" s="263"/>
      <c r="R31" s="212"/>
      <c r="S31" s="79"/>
      <c r="T31" s="60"/>
      <c r="U31" s="60"/>
      <c r="V31" s="60"/>
      <c r="W31" s="81"/>
      <c r="X31" s="81"/>
      <c r="Y31" s="60"/>
      <c r="Z31" s="60"/>
      <c r="AA31" s="60"/>
      <c r="AB31" s="81"/>
      <c r="AC31" s="81"/>
      <c r="AD31" s="60"/>
      <c r="AE31" s="60"/>
      <c r="AF31" s="60"/>
      <c r="AG31" s="81"/>
      <c r="AH31" s="81"/>
      <c r="AI31" s="81"/>
      <c r="AJ31" s="133"/>
    </row>
    <row r="32" spans="1:36" ht="18.75" customHeight="1">
      <c r="A32" s="25" t="s">
        <v>356</v>
      </c>
      <c r="B32" s="26" t="s">
        <v>92</v>
      </c>
      <c r="C32" s="26"/>
      <c r="D32" s="351">
        <v>0</v>
      </c>
      <c r="E32" s="144">
        <f>'Crop Budget (Main)'!$C$11</f>
        <v>1</v>
      </c>
      <c r="F32" s="27"/>
      <c r="G32" s="28">
        <f t="shared" ref="G32:G33" si="6">D32/E32</f>
        <v>0</v>
      </c>
      <c r="H32" s="169"/>
      <c r="I32" s="351">
        <v>0</v>
      </c>
      <c r="J32" s="144">
        <f>'Crop Budget (Main)'!$G$11</f>
        <v>1</v>
      </c>
      <c r="K32" s="27"/>
      <c r="L32" s="28">
        <f t="shared" ref="L32:L33" si="7">I32/J32</f>
        <v>0</v>
      </c>
      <c r="M32" s="169"/>
      <c r="N32" s="74"/>
      <c r="O32" s="351">
        <v>0</v>
      </c>
      <c r="P32" s="144">
        <f>'Crop Budget (Main)'!$K$11</f>
        <v>1</v>
      </c>
      <c r="Q32" s="262"/>
      <c r="R32" s="29">
        <f t="shared" ref="R32:R33" si="8">O32/P32</f>
        <v>0</v>
      </c>
    </row>
    <row r="33" spans="1:18" ht="18.75" customHeight="1">
      <c r="A33" s="25" t="s">
        <v>110</v>
      </c>
      <c r="B33" s="26" t="s">
        <v>92</v>
      </c>
      <c r="C33" s="26"/>
      <c r="D33" s="351">
        <v>0</v>
      </c>
      <c r="E33" s="144">
        <f>'Crop Budget (Main)'!$C$11</f>
        <v>1</v>
      </c>
      <c r="F33" s="27"/>
      <c r="G33" s="28">
        <f t="shared" si="6"/>
        <v>0</v>
      </c>
      <c r="H33" s="169"/>
      <c r="I33" s="351">
        <v>0</v>
      </c>
      <c r="J33" s="144">
        <f>'Crop Budget (Main)'!$G$11</f>
        <v>1</v>
      </c>
      <c r="K33" s="27"/>
      <c r="L33" s="28">
        <f t="shared" si="7"/>
        <v>0</v>
      </c>
      <c r="M33" s="169"/>
      <c r="N33" s="74"/>
      <c r="O33" s="351">
        <v>0</v>
      </c>
      <c r="P33" s="144">
        <f>'Crop Budget (Main)'!$K$11</f>
        <v>1</v>
      </c>
      <c r="Q33" s="262"/>
      <c r="R33" s="29">
        <f t="shared" si="8"/>
        <v>0</v>
      </c>
    </row>
    <row r="34" spans="1:18" ht="18.75" customHeight="1">
      <c r="A34" s="25" t="s">
        <v>290</v>
      </c>
      <c r="B34" s="26" t="s">
        <v>92</v>
      </c>
      <c r="C34" s="26"/>
      <c r="D34" s="351">
        <v>0</v>
      </c>
      <c r="E34" s="144">
        <f>'Crop Budget (Main)'!$C$11</f>
        <v>1</v>
      </c>
      <c r="F34" s="27"/>
      <c r="G34" s="28">
        <f>D34/E34</f>
        <v>0</v>
      </c>
      <c r="H34" s="169"/>
      <c r="I34" s="351">
        <v>0</v>
      </c>
      <c r="J34" s="144">
        <f>'Crop Budget (Main)'!$G$11</f>
        <v>1</v>
      </c>
      <c r="K34" s="27"/>
      <c r="L34" s="28">
        <f>I34/J34</f>
        <v>0</v>
      </c>
      <c r="M34" s="169"/>
      <c r="N34" s="74"/>
      <c r="O34" s="351">
        <v>0</v>
      </c>
      <c r="P34" s="144">
        <f>'Crop Budget (Main)'!$K$11</f>
        <v>1</v>
      </c>
      <c r="Q34" s="262"/>
      <c r="R34" s="29">
        <f>O34/P34</f>
        <v>0</v>
      </c>
    </row>
    <row r="35" spans="1:18" ht="18.75" customHeight="1" thickBot="1">
      <c r="A35" s="31" t="s">
        <v>494</v>
      </c>
      <c r="B35" s="32" t="s">
        <v>92</v>
      </c>
      <c r="C35" s="32"/>
      <c r="D35" s="352">
        <v>0</v>
      </c>
      <c r="E35" s="234">
        <f>'Crop Budget (Main)'!$C$11</f>
        <v>1</v>
      </c>
      <c r="F35" s="136"/>
      <c r="G35" s="137">
        <f>D35/E35</f>
        <v>0</v>
      </c>
      <c r="H35" s="170"/>
      <c r="I35" s="352">
        <v>0</v>
      </c>
      <c r="J35" s="234">
        <f>'Crop Budget (Main)'!$G$11</f>
        <v>1</v>
      </c>
      <c r="K35" s="136"/>
      <c r="L35" s="137">
        <f>I35/J35</f>
        <v>0</v>
      </c>
      <c r="M35" s="170"/>
      <c r="N35" s="265"/>
      <c r="O35" s="352">
        <v>0</v>
      </c>
      <c r="P35" s="234">
        <f>'Crop Budget (Main)'!$K$11</f>
        <v>1</v>
      </c>
      <c r="Q35" s="264"/>
      <c r="R35" s="138">
        <f>O35/P35</f>
        <v>0</v>
      </c>
    </row>
    <row r="37" spans="1:18">
      <c r="A37" s="217" t="s">
        <v>412</v>
      </c>
    </row>
  </sheetData>
  <sheetProtection algorithmName="SHA-512" hashValue="+b/PvVLYKSoJX7l2cXwEGz/oMgHtFY/IKfRenVL5JIYNvfJ/yj5FwRp8gP1i7xNN2HWNLn2UReW+nWfcsgzZ3Q==" saltValue="Ig93byJEft/rs17XhMfQ0A==" spinCount="100000" sheet="1" objects="1" scenarios="1"/>
  <mergeCells count="1">
    <mergeCell ref="A1:R3"/>
  </mergeCells>
  <conditionalFormatting sqref="H16">
    <cfRule type="dataBar" priority="53">
      <dataBar>
        <cfvo type="min"/>
        <cfvo type="max"/>
        <color rgb="FF63C384"/>
      </dataBar>
    </cfRule>
  </conditionalFormatting>
  <conditionalFormatting sqref="M16:N16">
    <cfRule type="dataBar" priority="54">
      <dataBar>
        <cfvo type="min"/>
        <cfvo type="max"/>
        <color rgb="FF63C384"/>
      </dataBar>
    </cfRule>
  </conditionalFormatting>
  <conditionalFormatting sqref="G5:H5">
    <cfRule type="dataBar" priority="41">
      <dataBar>
        <cfvo type="min"/>
        <cfvo type="max"/>
        <color rgb="FF63C384"/>
      </dataBar>
    </cfRule>
  </conditionalFormatting>
  <conditionalFormatting sqref="L5:N5">
    <cfRule type="dataBar" priority="42">
      <dataBar>
        <cfvo type="min"/>
        <cfvo type="max"/>
        <color rgb="FF63C384"/>
      </dataBar>
    </cfRule>
  </conditionalFormatting>
  <conditionalFormatting sqref="G31:H31">
    <cfRule type="dataBar" priority="6">
      <dataBar>
        <cfvo type="min"/>
        <cfvo type="max"/>
        <color rgb="FF63C384"/>
      </dataBar>
    </cfRule>
  </conditionalFormatting>
  <conditionalFormatting sqref="L31:N31">
    <cfRule type="dataBar" priority="7">
      <dataBar>
        <cfvo type="min"/>
        <cfvo type="max"/>
        <color rgb="FF63C384"/>
      </dataBar>
    </cfRule>
  </conditionalFormatting>
  <conditionalFormatting sqref="G29 R29 L29">
    <cfRule type="dataBar" priority="569">
      <dataBar>
        <cfvo type="min"/>
        <cfvo type="max"/>
        <color rgb="FF63C384"/>
      </dataBar>
    </cfRule>
  </conditionalFormatting>
  <conditionalFormatting sqref="R32:R35 G32:G35 L32:L35">
    <cfRule type="dataBar" priority="575">
      <dataBar>
        <cfvo type="min"/>
        <cfvo type="max"/>
        <color rgb="FF63C384"/>
      </dataBar>
    </cfRule>
  </conditionalFormatting>
  <conditionalFormatting sqref="G6:G28 L6:L28 R6:R28">
    <cfRule type="dataBar" priority="582">
      <dataBar>
        <cfvo type="min"/>
        <cfvo type="max"/>
        <color rgb="FF63C384"/>
      </dataBar>
    </cfRule>
  </conditionalFormatting>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C0493-7FA8-42BF-9D8A-15A09DEC7B6A}">
  <dimension ref="A1:L40"/>
  <sheetViews>
    <sheetView workbookViewId="0">
      <selection activeCell="B2" sqref="B2"/>
    </sheetView>
  </sheetViews>
  <sheetFormatPr defaultRowHeight="15"/>
  <cols>
    <col min="1" max="1" width="23.28515625" bestFit="1" customWidth="1"/>
    <col min="2" max="2" width="10.85546875" bestFit="1" customWidth="1"/>
    <col min="3" max="3" width="10.5703125" bestFit="1" customWidth="1"/>
    <col min="4" max="4" width="18.42578125" bestFit="1" customWidth="1"/>
    <col min="9" max="9" width="15.7109375" bestFit="1" customWidth="1"/>
    <col min="10" max="10" width="10.85546875" bestFit="1" customWidth="1"/>
    <col min="11" max="11" width="10.5703125" bestFit="1" customWidth="1"/>
    <col min="12" max="12" width="18.42578125" bestFit="1" customWidth="1"/>
  </cols>
  <sheetData>
    <row r="1" spans="1:12">
      <c r="B1" t="s">
        <v>558</v>
      </c>
      <c r="C1" t="s">
        <v>650</v>
      </c>
      <c r="D1" t="s">
        <v>594</v>
      </c>
      <c r="J1" t="s">
        <v>558</v>
      </c>
      <c r="K1" t="s">
        <v>650</v>
      </c>
      <c r="L1" t="s">
        <v>594</v>
      </c>
    </row>
    <row r="2" spans="1:12" ht="15.75">
      <c r="A2" s="285" t="s">
        <v>95</v>
      </c>
      <c r="B2" s="286">
        <f>'Crop Budget (Main)'!C21</f>
        <v>0</v>
      </c>
      <c r="C2" s="286">
        <f>'Crop Budget (Main)'!G21</f>
        <v>0</v>
      </c>
      <c r="D2" s="286">
        <f>'Crop Budget (Main)'!K21</f>
        <v>0</v>
      </c>
      <c r="I2" t="s">
        <v>628</v>
      </c>
      <c r="J2" s="287">
        <f>'Crop Budget (Main)'!C50</f>
        <v>0</v>
      </c>
      <c r="K2" s="287">
        <f>'Crop Budget (Main)'!G50</f>
        <v>0</v>
      </c>
      <c r="L2" s="287">
        <f>'Crop Budget (Main)'!K50</f>
        <v>0</v>
      </c>
    </row>
    <row r="3" spans="1:12" ht="15.75">
      <c r="A3" s="285" t="s">
        <v>96</v>
      </c>
      <c r="B3" s="286">
        <f>'Crop Budget (Main)'!C22</f>
        <v>0</v>
      </c>
      <c r="C3" s="286">
        <f>'Crop Budget (Main)'!G22</f>
        <v>0</v>
      </c>
      <c r="D3" s="286">
        <f>'Crop Budget (Main)'!K22</f>
        <v>0</v>
      </c>
      <c r="I3" t="s">
        <v>629</v>
      </c>
      <c r="J3" s="287">
        <f>'Crop Budget (Main)'!C59</f>
        <v>0</v>
      </c>
      <c r="K3" s="287">
        <f>'Crop Budget (Main)'!G59</f>
        <v>0</v>
      </c>
      <c r="L3" s="287">
        <f>'Crop Budget (Main)'!K59</f>
        <v>0</v>
      </c>
    </row>
    <row r="4" spans="1:12" ht="15.75">
      <c r="A4" s="285" t="s">
        <v>357</v>
      </c>
      <c r="B4" s="286">
        <f>SUM(B5:B7)</f>
        <v>0</v>
      </c>
      <c r="C4" s="286">
        <f>'Crop Budget (Main)'!G23</f>
        <v>0</v>
      </c>
      <c r="D4" s="286">
        <f>'Crop Budget (Main)'!K23</f>
        <v>0</v>
      </c>
      <c r="I4" t="s">
        <v>630</v>
      </c>
      <c r="J4" s="287">
        <f>'Crop Budget (Main)'!C60</f>
        <v>0</v>
      </c>
      <c r="K4" s="287">
        <f>'Crop Budget (Main)'!G60</f>
        <v>0</v>
      </c>
      <c r="L4" s="287">
        <f>'Crop Budget (Main)'!K60</f>
        <v>0</v>
      </c>
    </row>
    <row r="5" spans="1:12" ht="15.75" hidden="1">
      <c r="A5" s="288" t="s">
        <v>359</v>
      </c>
      <c r="B5" s="286">
        <f>'Crop Budget (Main)'!C24</f>
        <v>0</v>
      </c>
      <c r="C5" s="286">
        <f>'Crop Budget (Main)'!G24</f>
        <v>0</v>
      </c>
      <c r="D5" s="286">
        <f>'Crop Budget (Main)'!K24</f>
        <v>0</v>
      </c>
    </row>
    <row r="6" spans="1:12" ht="15.75" hidden="1">
      <c r="A6" s="288" t="s">
        <v>127</v>
      </c>
      <c r="B6" s="286">
        <f>'Crop Budget (Main)'!C25</f>
        <v>0</v>
      </c>
      <c r="C6" s="286">
        <f>'Crop Budget (Main)'!G25</f>
        <v>0</v>
      </c>
      <c r="D6" s="286">
        <f>'Crop Budget (Main)'!K25</f>
        <v>0</v>
      </c>
    </row>
    <row r="7" spans="1:12" ht="15.75" hidden="1">
      <c r="A7" s="288" t="s">
        <v>154</v>
      </c>
      <c r="B7" s="286">
        <f>'Crop Budget (Main)'!C26</f>
        <v>0</v>
      </c>
      <c r="C7" s="286">
        <f>'Crop Budget (Main)'!G26</f>
        <v>0</v>
      </c>
      <c r="D7" s="286">
        <f>'Crop Budget (Main)'!K26</f>
        <v>0</v>
      </c>
    </row>
    <row r="8" spans="1:12" ht="15.75">
      <c r="A8" s="285" t="s">
        <v>100</v>
      </c>
      <c r="B8" s="286">
        <f>'Crop Budget (Main)'!C27</f>
        <v>0</v>
      </c>
      <c r="C8" s="286">
        <f>'Crop Budget (Main)'!G27</f>
        <v>0</v>
      </c>
      <c r="D8" s="286">
        <f>'Crop Budget (Main)'!K27</f>
        <v>0</v>
      </c>
      <c r="I8" t="s">
        <v>630</v>
      </c>
      <c r="J8" s="1">
        <f>SUM(J2:J3)</f>
        <v>0</v>
      </c>
      <c r="K8" s="1">
        <f t="shared" ref="K8:L8" si="0">SUM(K2:K3)</f>
        <v>0</v>
      </c>
      <c r="L8" s="1">
        <f t="shared" si="0"/>
        <v>0</v>
      </c>
    </row>
    <row r="9" spans="1:12" ht="15.75">
      <c r="A9" s="285" t="s">
        <v>353</v>
      </c>
      <c r="B9" s="286">
        <f>'Crop Budget (Main)'!C28</f>
        <v>0</v>
      </c>
      <c r="C9" s="286">
        <f>'Crop Budget (Main)'!G28</f>
        <v>0</v>
      </c>
      <c r="D9" s="286">
        <f>'Crop Budget (Main)'!K28</f>
        <v>0</v>
      </c>
    </row>
    <row r="10" spans="1:12" ht="15.75">
      <c r="A10" s="285" t="s">
        <v>106</v>
      </c>
      <c r="B10" s="286">
        <f>'Crop Budget (Main)'!C29</f>
        <v>0</v>
      </c>
      <c r="C10" s="286">
        <f>'Crop Budget (Main)'!G29</f>
        <v>0</v>
      </c>
      <c r="D10" s="286">
        <f>'Crop Budget (Main)'!K29</f>
        <v>0</v>
      </c>
    </row>
    <row r="11" spans="1:12" ht="15.75">
      <c r="A11" s="285" t="s">
        <v>102</v>
      </c>
      <c r="B11" s="286">
        <f>SUM(B12:B13)</f>
        <v>0</v>
      </c>
      <c r="C11" s="286">
        <f t="shared" ref="C11:D11" si="1">SUM(C12:C13)</f>
        <v>0</v>
      </c>
      <c r="D11" s="286">
        <f t="shared" si="1"/>
        <v>0</v>
      </c>
    </row>
    <row r="12" spans="1:12" ht="15.75" hidden="1">
      <c r="A12" s="289" t="s">
        <v>103</v>
      </c>
      <c r="B12" s="286">
        <f>'Crop Budget (Main)'!C31</f>
        <v>0</v>
      </c>
      <c r="C12" s="286">
        <f>'Crop Budget (Main)'!G31</f>
        <v>0</v>
      </c>
      <c r="D12" s="286">
        <f>'Crop Budget (Main)'!K31</f>
        <v>0</v>
      </c>
    </row>
    <row r="13" spans="1:12" ht="15.75" hidden="1">
      <c r="A13" s="289" t="s">
        <v>104</v>
      </c>
      <c r="B13" s="286">
        <f>'Crop Budget (Main)'!C32</f>
        <v>0</v>
      </c>
      <c r="C13" s="286">
        <f>'Crop Budget (Main)'!G32</f>
        <v>0</v>
      </c>
      <c r="D13" s="286">
        <f>'Crop Budget (Main)'!K32</f>
        <v>0</v>
      </c>
    </row>
    <row r="14" spans="1:12" ht="15.75">
      <c r="A14" s="285" t="s">
        <v>105</v>
      </c>
      <c r="B14" s="286">
        <f>SUM(B15:B16)</f>
        <v>0</v>
      </c>
      <c r="C14" s="286">
        <f t="shared" ref="C14:D14" si="2">SUM(C15:C16)</f>
        <v>0</v>
      </c>
      <c r="D14" s="286">
        <f t="shared" si="2"/>
        <v>0</v>
      </c>
    </row>
    <row r="15" spans="1:12" ht="15.75" hidden="1">
      <c r="A15" s="290" t="s">
        <v>354</v>
      </c>
      <c r="B15" s="286">
        <f>'Crop Budget (Main)'!C34</f>
        <v>0</v>
      </c>
      <c r="C15" s="286">
        <f>'Crop Budget (Main)'!G34</f>
        <v>0</v>
      </c>
      <c r="D15" s="286">
        <f>'Crop Budget (Main)'!K34</f>
        <v>0</v>
      </c>
    </row>
    <row r="16" spans="1:12" ht="15.75" hidden="1">
      <c r="A16" s="290" t="s">
        <v>355</v>
      </c>
      <c r="B16" s="286">
        <f>'Crop Budget (Main)'!C35</f>
        <v>0</v>
      </c>
      <c r="C16" s="286">
        <f>'Crop Budget (Main)'!G35</f>
        <v>0</v>
      </c>
      <c r="D16" s="286">
        <f>'Crop Budget (Main)'!K35</f>
        <v>0</v>
      </c>
    </row>
    <row r="17" spans="1:4" ht="15.75">
      <c r="A17" s="285" t="s">
        <v>97</v>
      </c>
      <c r="B17" s="286">
        <f>SUM(B18:B20)</f>
        <v>0</v>
      </c>
      <c r="C17" s="286">
        <f t="shared" ref="C17:D17" si="3">SUM(C18:C20)</f>
        <v>0</v>
      </c>
      <c r="D17" s="286">
        <f t="shared" si="3"/>
        <v>0</v>
      </c>
    </row>
    <row r="18" spans="1:4" ht="15.75" hidden="1">
      <c r="A18" s="289" t="s">
        <v>98</v>
      </c>
      <c r="B18" s="286">
        <f>'Crop Budget (Main)'!C37</f>
        <v>0</v>
      </c>
      <c r="C18" s="286">
        <f>'Crop Budget (Main)'!G37</f>
        <v>0</v>
      </c>
      <c r="D18" s="286">
        <f>'Crop Budget (Main)'!K37</f>
        <v>0</v>
      </c>
    </row>
    <row r="19" spans="1:4" ht="15.75" hidden="1">
      <c r="A19" s="289" t="s">
        <v>99</v>
      </c>
      <c r="B19" s="286">
        <f>'Crop Budget (Main)'!C38</f>
        <v>0</v>
      </c>
      <c r="C19" s="286">
        <f>'Crop Budget (Main)'!G38</f>
        <v>0</v>
      </c>
      <c r="D19" s="286">
        <f>'Crop Budget (Main)'!K38</f>
        <v>0</v>
      </c>
    </row>
    <row r="20" spans="1:4" ht="15.75" hidden="1">
      <c r="A20" s="289" t="s">
        <v>287</v>
      </c>
      <c r="B20" s="286">
        <f>'Crop Budget (Main)'!C39</f>
        <v>0</v>
      </c>
      <c r="C20" s="286">
        <f>'Crop Budget (Main)'!G39</f>
        <v>0</v>
      </c>
      <c r="D20" s="286">
        <f>'Crop Budget (Main)'!K39</f>
        <v>0</v>
      </c>
    </row>
    <row r="21" spans="1:4" ht="15.75">
      <c r="A21" s="285" t="s">
        <v>101</v>
      </c>
      <c r="B21" s="286">
        <f>'Crop Budget (Main)'!C40</f>
        <v>0</v>
      </c>
      <c r="C21" s="286">
        <f>'Crop Budget (Main)'!G40</f>
        <v>0</v>
      </c>
      <c r="D21" s="286">
        <f>'Crop Budget (Main)'!K40</f>
        <v>0</v>
      </c>
    </row>
    <row r="22" spans="1:4" ht="15.75">
      <c r="A22" s="285" t="s">
        <v>107</v>
      </c>
      <c r="B22" s="286">
        <f>'Crop Budget (Main)'!C41</f>
        <v>0</v>
      </c>
      <c r="C22" s="286">
        <f>'Crop Budget (Main)'!G41</f>
        <v>0</v>
      </c>
      <c r="D22" s="286">
        <f>'Crop Budget (Main)'!K41</f>
        <v>0</v>
      </c>
    </row>
    <row r="23" spans="1:4" ht="15.75">
      <c r="A23" s="285" t="s">
        <v>108</v>
      </c>
      <c r="B23" s="286">
        <f>'Crop Budget (Main)'!C42</f>
        <v>0</v>
      </c>
      <c r="C23" s="286">
        <f>'Crop Budget (Main)'!G42</f>
        <v>0</v>
      </c>
      <c r="D23" s="286">
        <f>'Crop Budget (Main)'!K42</f>
        <v>0</v>
      </c>
    </row>
    <row r="24" spans="1:4" ht="15.75">
      <c r="A24" s="285" t="s">
        <v>109</v>
      </c>
      <c r="B24" s="286">
        <f>SUM(B25:B26)</f>
        <v>0</v>
      </c>
      <c r="C24" s="286">
        <f t="shared" ref="C24:D24" si="4">SUM(C25:C26)</f>
        <v>0</v>
      </c>
      <c r="D24" s="286">
        <f t="shared" si="4"/>
        <v>0</v>
      </c>
    </row>
    <row r="25" spans="1:4" ht="15.75" hidden="1">
      <c r="A25" s="289" t="s">
        <v>129</v>
      </c>
      <c r="B25" s="286">
        <f>'Crop Budget (Main)'!C44</f>
        <v>0</v>
      </c>
      <c r="C25" s="286">
        <f>'Crop Budget (Main)'!G44</f>
        <v>0</v>
      </c>
      <c r="D25" s="286">
        <f>'Crop Budget (Main)'!K44</f>
        <v>0</v>
      </c>
    </row>
    <row r="26" spans="1:4" ht="15.75" hidden="1">
      <c r="A26" s="289" t="s">
        <v>130</v>
      </c>
      <c r="B26" s="286">
        <f>'Crop Budget (Main)'!C45</f>
        <v>0</v>
      </c>
      <c r="C26" s="286">
        <f>'Crop Budget (Main)'!G45</f>
        <v>0</v>
      </c>
      <c r="D26" s="286">
        <f>'Crop Budget (Main)'!K45</f>
        <v>0</v>
      </c>
    </row>
    <row r="27" spans="1:4" ht="15.75">
      <c r="A27" s="285" t="s">
        <v>493</v>
      </c>
      <c r="B27" s="286">
        <f>'Crop Budget (Main)'!C46</f>
        <v>0</v>
      </c>
      <c r="C27" s="286">
        <f>'Crop Budget (Main)'!G46</f>
        <v>0</v>
      </c>
      <c r="D27" s="286">
        <f>'Crop Budget (Main)'!K46</f>
        <v>0</v>
      </c>
    </row>
    <row r="28" spans="1:4" ht="15.75" hidden="1">
      <c r="A28" s="2" t="s">
        <v>496</v>
      </c>
      <c r="B28" s="286">
        <f>'Crop Budget (Main)'!C47</f>
        <v>0</v>
      </c>
      <c r="C28" s="286">
        <f>'Crop Budget (Main)'!G47</f>
        <v>0</v>
      </c>
      <c r="D28" s="286">
        <f>'Crop Budget (Main)'!K47</f>
        <v>0</v>
      </c>
    </row>
    <row r="29" spans="1:4" ht="15.75" hidden="1">
      <c r="A29" s="285" t="s">
        <v>631</v>
      </c>
      <c r="B29" s="286">
        <f>'Crop Budget (Main)'!C48</f>
        <v>0</v>
      </c>
      <c r="C29" s="286">
        <f>'Crop Budget (Main)'!G48</f>
        <v>0</v>
      </c>
      <c r="D29" s="286">
        <f>'Crop Budget (Main)'!K48</f>
        <v>0</v>
      </c>
    </row>
    <row r="30" spans="1:4" ht="15.75">
      <c r="A30" s="2" t="s">
        <v>356</v>
      </c>
      <c r="B30" s="286">
        <f>'Crop Budget (Main)'!C54</f>
        <v>0</v>
      </c>
      <c r="C30" s="286">
        <f>'Crop Budget (Main)'!G54</f>
        <v>0</v>
      </c>
      <c r="D30" s="286">
        <f>'Crop Budget (Main)'!K54</f>
        <v>0</v>
      </c>
    </row>
    <row r="31" spans="1:4" ht="15.75">
      <c r="A31" s="2" t="s">
        <v>505</v>
      </c>
      <c r="B31" s="286">
        <f>'Crop Budget (Main)'!C55</f>
        <v>0</v>
      </c>
      <c r="C31" s="286">
        <f>'Crop Budget (Main)'!G55</f>
        <v>0</v>
      </c>
      <c r="D31" s="286">
        <f>'Crop Budget (Main)'!K55</f>
        <v>0</v>
      </c>
    </row>
    <row r="32" spans="1:4" ht="15.75">
      <c r="A32" s="2" t="s">
        <v>290</v>
      </c>
      <c r="B32" s="286">
        <f>'Crop Budget (Main)'!C56</f>
        <v>0</v>
      </c>
      <c r="C32" s="286">
        <f>'Crop Budget (Main)'!G56</f>
        <v>0</v>
      </c>
      <c r="D32" s="286">
        <f>'Crop Budget (Main)'!K56</f>
        <v>0</v>
      </c>
    </row>
    <row r="33" spans="1:4" ht="15.75">
      <c r="A33" s="2" t="s">
        <v>632</v>
      </c>
      <c r="B33" s="286">
        <f>'Crop Budget (Main)'!C57</f>
        <v>0</v>
      </c>
      <c r="C33" s="286">
        <f>'Crop Budget (Main)'!G57</f>
        <v>0</v>
      </c>
      <c r="D33" s="286">
        <f>'Crop Budget (Main)'!K57</f>
        <v>0</v>
      </c>
    </row>
    <row r="34" spans="1:4" ht="15.75" hidden="1">
      <c r="A34" s="2" t="s">
        <v>633</v>
      </c>
      <c r="B34" s="286">
        <f>'Crop Budget (Main)'!C58</f>
        <v>0</v>
      </c>
      <c r="C34" s="286">
        <f>'Crop Budget (Main)'!G58</f>
        <v>0</v>
      </c>
      <c r="D34" s="286">
        <f>'Crop Budget (Main)'!K58</f>
        <v>0</v>
      </c>
    </row>
    <row r="35" spans="1:4" ht="15.75">
      <c r="A35" s="2" t="s">
        <v>634</v>
      </c>
      <c r="B35" s="286">
        <f>B34+B29</f>
        <v>0</v>
      </c>
      <c r="C35" s="286">
        <f t="shared" ref="C35:D35" si="5">C34+C29</f>
        <v>0</v>
      </c>
      <c r="D35" s="286">
        <f t="shared" si="5"/>
        <v>0</v>
      </c>
    </row>
    <row r="36" spans="1:4" ht="15.75">
      <c r="A36" s="2" t="s">
        <v>401</v>
      </c>
      <c r="B36" s="286">
        <f>'Crop Budget (Main)'!C65</f>
        <v>0</v>
      </c>
      <c r="C36" s="286">
        <f>'Crop Budget (Main)'!G65</f>
        <v>0</v>
      </c>
      <c r="D36" s="286">
        <f>'Crop Budget (Main)'!K65</f>
        <v>0</v>
      </c>
    </row>
    <row r="37" spans="1:4" ht="15.75">
      <c r="A37" s="2" t="s">
        <v>323</v>
      </c>
      <c r="B37" s="286">
        <f>'Crop Budget (Main)'!C66</f>
        <v>0</v>
      </c>
      <c r="C37" s="286">
        <f>'Crop Budget (Main)'!G66</f>
        <v>0</v>
      </c>
      <c r="D37" s="286">
        <f>'Crop Budget (Main)'!K66</f>
        <v>0</v>
      </c>
    </row>
    <row r="38" spans="1:4" ht="15.75" hidden="1">
      <c r="A38" s="2" t="s">
        <v>497</v>
      </c>
      <c r="B38" s="286">
        <f>'Crop Budget (Main)'!C67</f>
        <v>0</v>
      </c>
      <c r="C38" s="286">
        <f>'Crop Budget (Main)'!G67</f>
        <v>0</v>
      </c>
      <c r="D38" s="286">
        <f>'Crop Budget (Main)'!K67</f>
        <v>0</v>
      </c>
    </row>
    <row r="39" spans="1:4" ht="15.75">
      <c r="A39" s="2" t="s">
        <v>635</v>
      </c>
      <c r="B39" s="286">
        <f>B38+B28</f>
        <v>0</v>
      </c>
      <c r="C39" s="286">
        <f t="shared" ref="C39:D39" si="6">C38+C28</f>
        <v>0</v>
      </c>
      <c r="D39" s="286">
        <f t="shared" si="6"/>
        <v>0</v>
      </c>
    </row>
    <row r="40" spans="1:4" ht="15.75">
      <c r="A40" s="2" t="s">
        <v>402</v>
      </c>
      <c r="B40" s="286">
        <f>'Crop Budget (Main)'!C68</f>
        <v>0</v>
      </c>
      <c r="C40" s="286">
        <f>'Crop Budget (Main)'!G68</f>
        <v>0</v>
      </c>
      <c r="D40" s="286">
        <f>'Crop Budget (Main)'!K68</f>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B69"/>
  <sheetViews>
    <sheetView zoomScale="90" zoomScaleNormal="90" workbookViewId="0">
      <pane ySplit="1" topLeftCell="A2" activePane="bottomLeft" state="frozen"/>
      <selection pane="bottomLeft" activeCell="U16" sqref="U16"/>
    </sheetView>
  </sheetViews>
  <sheetFormatPr defaultColWidth="9.140625" defaultRowHeight="15"/>
  <cols>
    <col min="1" max="1" width="30.7109375" style="6" customWidth="1"/>
    <col min="2" max="2" width="11.7109375" style="6" customWidth="1"/>
    <col min="3" max="3" width="18.42578125" style="6" hidden="1" customWidth="1"/>
    <col min="4" max="4" width="18.7109375" style="6" customWidth="1"/>
    <col min="5" max="5" width="12.42578125" style="6" hidden="1" customWidth="1"/>
    <col min="6" max="6" width="14.42578125" style="6" bestFit="1" customWidth="1"/>
    <col min="7" max="7" width="7.28515625" style="24" customWidth="1"/>
    <col min="8" max="8" width="10.85546875" style="6" customWidth="1"/>
    <col min="9" max="9" width="8.85546875" style="6" customWidth="1"/>
    <col min="10" max="10" width="8.7109375" style="6" customWidth="1"/>
    <col min="11" max="11" width="30.7109375" style="6" customWidth="1"/>
    <col min="12" max="12" width="11.7109375" style="6" customWidth="1"/>
    <col min="13" max="13" width="18.42578125" style="6" hidden="1" customWidth="1"/>
    <col min="14" max="14" width="18.7109375" style="6" customWidth="1"/>
    <col min="15" max="15" width="12.42578125" style="6" hidden="1" customWidth="1"/>
    <col min="16" max="16" width="14.42578125" style="6" bestFit="1" customWidth="1"/>
    <col min="17" max="17" width="7.28515625" style="24" customWidth="1"/>
    <col min="18" max="18" width="10.85546875" style="6" customWidth="1"/>
    <col min="19" max="20" width="8.7109375" style="6" customWidth="1"/>
    <col min="21" max="21" width="30.7109375" style="6" customWidth="1"/>
    <col min="22" max="22" width="11.7109375" style="6" customWidth="1"/>
    <col min="23" max="23" width="18.42578125" style="6" hidden="1" customWidth="1"/>
    <col min="24" max="24" width="18.7109375" style="6" customWidth="1"/>
    <col min="25" max="25" width="12.42578125" style="6" hidden="1" customWidth="1"/>
    <col min="26" max="26" width="14.42578125" style="6" customWidth="1"/>
    <col min="27" max="27" width="7.28515625" style="24" customWidth="1"/>
    <col min="28" max="28" width="10.85546875" style="6" customWidth="1"/>
    <col min="29" max="16384" width="9.140625" style="6"/>
  </cols>
  <sheetData>
    <row r="1" spans="1:28" ht="26.25">
      <c r="A1" s="682" t="s">
        <v>558</v>
      </c>
      <c r="B1" s="683"/>
      <c r="C1" s="683"/>
      <c r="D1" s="683"/>
      <c r="E1" s="683"/>
      <c r="F1" s="683"/>
      <c r="G1" s="683"/>
      <c r="H1" s="684"/>
      <c r="I1" s="114"/>
      <c r="J1" s="115"/>
      <c r="K1" s="682" t="s">
        <v>650</v>
      </c>
      <c r="L1" s="683"/>
      <c r="M1" s="683"/>
      <c r="N1" s="683"/>
      <c r="O1" s="683"/>
      <c r="P1" s="683"/>
      <c r="Q1" s="683"/>
      <c r="R1" s="684"/>
      <c r="S1" s="115"/>
      <c r="T1" s="115"/>
      <c r="U1" s="682" t="s">
        <v>594</v>
      </c>
      <c r="V1" s="683"/>
      <c r="W1" s="683"/>
      <c r="X1" s="683"/>
      <c r="Y1" s="683"/>
      <c r="Z1" s="683"/>
      <c r="AA1" s="683"/>
      <c r="AB1" s="684"/>
    </row>
    <row r="2" spans="1:28" ht="16.5" thickBot="1">
      <c r="A2" s="33"/>
      <c r="B2" s="34"/>
      <c r="C2" s="34"/>
      <c r="D2" s="35"/>
      <c r="E2" s="36"/>
      <c r="F2" s="36"/>
      <c r="G2" s="34"/>
      <c r="H2" s="55"/>
      <c r="I2" s="2"/>
      <c r="J2" s="2"/>
      <c r="K2" s="33"/>
      <c r="L2" s="34"/>
      <c r="M2" s="34"/>
      <c r="N2" s="35"/>
      <c r="O2" s="36"/>
      <c r="P2" s="36"/>
      <c r="Q2" s="34"/>
      <c r="R2" s="55"/>
      <c r="S2" s="2"/>
      <c r="T2" s="2"/>
      <c r="U2" s="33"/>
      <c r="V2" s="34"/>
      <c r="W2" s="34"/>
      <c r="X2" s="35"/>
      <c r="Y2" s="36"/>
      <c r="Z2" s="36"/>
      <c r="AA2" s="34"/>
      <c r="AB2" s="55"/>
    </row>
    <row r="3" spans="1:28" ht="16.5" thickBot="1">
      <c r="A3" s="747" t="s">
        <v>150</v>
      </c>
      <c r="B3" s="748"/>
      <c r="C3" s="748"/>
      <c r="D3" s="748"/>
      <c r="E3" s="748"/>
      <c r="F3" s="748"/>
      <c r="G3" s="748"/>
      <c r="H3" s="749"/>
      <c r="I3" s="60"/>
      <c r="J3" s="2"/>
      <c r="K3" s="747" t="s">
        <v>569</v>
      </c>
      <c r="L3" s="748"/>
      <c r="M3" s="748"/>
      <c r="N3" s="748"/>
      <c r="O3" s="748"/>
      <c r="P3" s="748"/>
      <c r="Q3" s="748"/>
      <c r="R3" s="749"/>
      <c r="S3" s="2"/>
      <c r="T3" s="2"/>
      <c r="U3" s="747" t="s">
        <v>568</v>
      </c>
      <c r="V3" s="748"/>
      <c r="W3" s="748"/>
      <c r="X3" s="748"/>
      <c r="Y3" s="748"/>
      <c r="Z3" s="748"/>
      <c r="AA3" s="748"/>
      <c r="AB3" s="749"/>
    </row>
    <row r="4" spans="1:28" ht="31.5">
      <c r="A4" s="88" t="s">
        <v>121</v>
      </c>
      <c r="B4" s="89" t="s">
        <v>213</v>
      </c>
      <c r="C4" s="90" t="s">
        <v>122</v>
      </c>
      <c r="D4" s="89" t="s">
        <v>123</v>
      </c>
      <c r="E4" s="90" t="s">
        <v>12</v>
      </c>
      <c r="F4" s="90" t="s">
        <v>124</v>
      </c>
      <c r="G4" s="89" t="s">
        <v>293</v>
      </c>
      <c r="H4" s="91" t="s">
        <v>125</v>
      </c>
      <c r="I4" s="92"/>
      <c r="J4" s="2"/>
      <c r="K4" s="88" t="s">
        <v>121</v>
      </c>
      <c r="L4" s="89" t="s">
        <v>213</v>
      </c>
      <c r="M4" s="90" t="s">
        <v>122</v>
      </c>
      <c r="N4" s="89" t="s">
        <v>123</v>
      </c>
      <c r="O4" s="90" t="s">
        <v>12</v>
      </c>
      <c r="P4" s="90" t="s">
        <v>124</v>
      </c>
      <c r="Q4" s="89" t="s">
        <v>293</v>
      </c>
      <c r="R4" s="91" t="s">
        <v>125</v>
      </c>
      <c r="S4" s="2"/>
      <c r="T4" s="2"/>
      <c r="U4" s="88" t="s">
        <v>121</v>
      </c>
      <c r="V4" s="89" t="s">
        <v>213</v>
      </c>
      <c r="W4" s="90" t="s">
        <v>122</v>
      </c>
      <c r="X4" s="89" t="s">
        <v>123</v>
      </c>
      <c r="Y4" s="90" t="s">
        <v>12</v>
      </c>
      <c r="Z4" s="90" t="s">
        <v>124</v>
      </c>
      <c r="AA4" s="89" t="s">
        <v>293</v>
      </c>
      <c r="AB4" s="91" t="s">
        <v>125</v>
      </c>
    </row>
    <row r="5" spans="1:28" ht="15.75">
      <c r="A5" s="93" t="s">
        <v>344</v>
      </c>
      <c r="B5" s="94"/>
      <c r="C5" s="23"/>
      <c r="D5" s="77" t="s">
        <v>143</v>
      </c>
      <c r="E5" s="99"/>
      <c r="F5" s="77" t="s">
        <v>143</v>
      </c>
      <c r="G5" s="36"/>
      <c r="H5" s="97"/>
      <c r="I5" s="98"/>
      <c r="J5" s="22"/>
      <c r="K5" s="93" t="s">
        <v>344</v>
      </c>
      <c r="L5" s="94"/>
      <c r="M5" s="23"/>
      <c r="N5" s="77" t="s">
        <v>143</v>
      </c>
      <c r="O5" s="99"/>
      <c r="P5" s="77" t="s">
        <v>143</v>
      </c>
      <c r="Q5" s="36"/>
      <c r="R5" s="97"/>
      <c r="S5" s="22"/>
      <c r="T5" s="22"/>
      <c r="U5" s="93" t="s">
        <v>344</v>
      </c>
      <c r="V5" s="94"/>
      <c r="W5" s="54"/>
      <c r="X5" s="78" t="s">
        <v>143</v>
      </c>
      <c r="Y5" s="117"/>
      <c r="Z5" s="78" t="s">
        <v>143</v>
      </c>
      <c r="AA5" s="36"/>
      <c r="AB5" s="97"/>
    </row>
    <row r="6" spans="1:28" ht="15.75">
      <c r="A6" s="338" t="s">
        <v>13</v>
      </c>
      <c r="B6" s="41">
        <f>VLOOKUP(A6,'Chemical List (Alfalfa)'!$A$4:$F$13,6,FALSE)</f>
        <v>0</v>
      </c>
      <c r="C6" s="15" t="str">
        <f>VLOOKUP(A6,'Chemical List (Alfalfa)'!$A$4:$F$13,4,FALSE)</f>
        <v>None</v>
      </c>
      <c r="D6" s="347">
        <v>0</v>
      </c>
      <c r="E6" s="348">
        <f>VLOOKUP(A6,'Chemical List (Alfalfa)'!$A$4:$F$13,3,FALSE)</f>
        <v>1</v>
      </c>
      <c r="F6" s="349">
        <v>0</v>
      </c>
      <c r="G6" s="41">
        <f>VLOOKUP(A6,'Chemical List (Alfalfa)'!$A$4:$F$13,2,FALSE)</f>
        <v>0</v>
      </c>
      <c r="H6" s="43">
        <f>F6/E6*D6</f>
        <v>0</v>
      </c>
      <c r="I6" s="18"/>
      <c r="J6" s="22"/>
      <c r="K6" s="338" t="s">
        <v>13</v>
      </c>
      <c r="L6" s="41">
        <f>VLOOKUP(K6,'Chemical List (Alfalfa)'!$A$21:$F$31,6,FALSE)</f>
        <v>0</v>
      </c>
      <c r="M6" s="15" t="str">
        <f>VLOOKUP(K6,'Chemical List (Alfalfa)'!$A$21:$F$31,4,FALSE)</f>
        <v>None</v>
      </c>
      <c r="N6" s="347">
        <v>0</v>
      </c>
      <c r="O6" s="348">
        <f>VLOOKUP(K6,'Chemical List (Alfalfa)'!$A$21:$F$31,3,FALSE)</f>
        <v>1</v>
      </c>
      <c r="P6" s="349">
        <v>0</v>
      </c>
      <c r="Q6" s="41">
        <f>VLOOKUP(K6,'Chemical List (Alfalfa)'!$A$21:$F$31,2,FALSE)</f>
        <v>0</v>
      </c>
      <c r="R6" s="43">
        <f>P6/O6*N6</f>
        <v>0</v>
      </c>
      <c r="S6" s="22"/>
      <c r="T6" s="22"/>
      <c r="U6" s="338" t="s">
        <v>13</v>
      </c>
      <c r="V6" s="41">
        <f>VLOOKUP($U6,'Chemical List (Grass)'!$A$4:$F$94,6,FALSE)</f>
        <v>0</v>
      </c>
      <c r="W6" s="15" t="str">
        <f>VLOOKUP(U6,'Chemical List (Grass)'!$A$4:$D$94,4,FALSE)</f>
        <v>None</v>
      </c>
      <c r="X6" s="347">
        <v>0</v>
      </c>
      <c r="Y6" s="348">
        <f>VLOOKUP(U6,'Chemical List (Grass)'!$A$4:$D$94,3,FALSE)</f>
        <v>1</v>
      </c>
      <c r="Z6" s="349">
        <v>0</v>
      </c>
      <c r="AA6" s="41">
        <f>VLOOKUP(U6,'Chemical List (Grass)'!$A$4:$D$94,2,FALSE)</f>
        <v>0</v>
      </c>
      <c r="AB6" s="43">
        <f>Z6/Y6*X6</f>
        <v>0</v>
      </c>
    </row>
    <row r="7" spans="1:28" ht="15.75">
      <c r="A7" s="338" t="s">
        <v>13</v>
      </c>
      <c r="B7" s="41">
        <f>VLOOKUP(A7,'Chemical List (Alfalfa)'!$A$4:$F$13,6,FALSE)</f>
        <v>0</v>
      </c>
      <c r="C7" s="15" t="str">
        <f>VLOOKUP(A7,'Chemical List (Alfalfa)'!$A$4:$F$13,4,FALSE)</f>
        <v>None</v>
      </c>
      <c r="D7" s="347">
        <v>0</v>
      </c>
      <c r="E7" s="348">
        <f>VLOOKUP(A7,'Chemical List (Alfalfa)'!$A$4:$F$13,3,FALSE)</f>
        <v>1</v>
      </c>
      <c r="F7" s="349">
        <v>0</v>
      </c>
      <c r="G7" s="41">
        <f>VLOOKUP(A7,'Chemical List (Alfalfa)'!$A$4:$F$13,2,FALSE)</f>
        <v>0</v>
      </c>
      <c r="H7" s="43">
        <f t="shared" ref="H7:H10" si="0">F7/E7*D7</f>
        <v>0</v>
      </c>
      <c r="I7" s="18"/>
      <c r="J7" s="22"/>
      <c r="K7" s="338" t="s">
        <v>13</v>
      </c>
      <c r="L7" s="41">
        <f>VLOOKUP(K7,'Chemical List (Alfalfa)'!$A$21:$F$31,6,FALSE)</f>
        <v>0</v>
      </c>
      <c r="M7" s="15" t="str">
        <f>VLOOKUP(K7,'Chemical List (Alfalfa)'!$A$21:$F$31,4,FALSE)</f>
        <v>None</v>
      </c>
      <c r="N7" s="347">
        <v>0</v>
      </c>
      <c r="O7" s="348">
        <f>VLOOKUP(K7,'Chemical List (Alfalfa)'!$A$21:$F$31,3,FALSE)</f>
        <v>1</v>
      </c>
      <c r="P7" s="349">
        <v>0</v>
      </c>
      <c r="Q7" s="41">
        <f>VLOOKUP(K7,'Chemical List (Alfalfa)'!$A$21:$F$31,2,FALSE)</f>
        <v>0</v>
      </c>
      <c r="R7" s="43">
        <f t="shared" ref="R7:R10" si="1">P7/O7*N7</f>
        <v>0</v>
      </c>
      <c r="S7" s="22"/>
      <c r="T7" s="22"/>
      <c r="U7" s="338" t="s">
        <v>13</v>
      </c>
      <c r="V7" s="41">
        <f>VLOOKUP($U7,'Chemical List (Grass)'!$A$4:$F$94,6,FALSE)</f>
        <v>0</v>
      </c>
      <c r="W7" s="15" t="str">
        <f>VLOOKUP(U7,'Chemical List (Grass)'!$A$4:$D$94,4,FALSE)</f>
        <v>None</v>
      </c>
      <c r="X7" s="347">
        <v>0</v>
      </c>
      <c r="Y7" s="348">
        <f>VLOOKUP(U7,'Chemical List (Grass)'!$A$4:$D$94,3,FALSE)</f>
        <v>1</v>
      </c>
      <c r="Z7" s="349">
        <v>0</v>
      </c>
      <c r="AA7" s="41">
        <f>VLOOKUP(U7,'Chemical List (Grass)'!$A$4:$D$94,2,FALSE)</f>
        <v>0</v>
      </c>
      <c r="AB7" s="43">
        <f t="shared" ref="AB7:AB10" si="2">Z7/Y7*X7</f>
        <v>0</v>
      </c>
    </row>
    <row r="8" spans="1:28" ht="15.75">
      <c r="A8" s="338" t="s">
        <v>13</v>
      </c>
      <c r="B8" s="41">
        <f>VLOOKUP(A8,'Chemical List (Alfalfa)'!$A$4:$F$13,6,FALSE)</f>
        <v>0</v>
      </c>
      <c r="C8" s="15" t="str">
        <f>VLOOKUP(A8,'Chemical List (Alfalfa)'!$A$4:$F$13,4,FALSE)</f>
        <v>None</v>
      </c>
      <c r="D8" s="347">
        <v>0</v>
      </c>
      <c r="E8" s="348">
        <f>VLOOKUP(A8,'Chemical List (Alfalfa)'!$A$4:$F$13,3,FALSE)</f>
        <v>1</v>
      </c>
      <c r="F8" s="349">
        <v>0</v>
      </c>
      <c r="G8" s="41">
        <f>VLOOKUP(A8,'Chemical List (Alfalfa)'!$A$4:$F$13,2,FALSE)</f>
        <v>0</v>
      </c>
      <c r="H8" s="43">
        <f t="shared" si="0"/>
        <v>0</v>
      </c>
      <c r="I8" s="18"/>
      <c r="J8" s="22"/>
      <c r="K8" s="338" t="s">
        <v>13</v>
      </c>
      <c r="L8" s="41">
        <f>VLOOKUP(K8,'Chemical List (Alfalfa)'!$A$21:$F$31,6,FALSE)</f>
        <v>0</v>
      </c>
      <c r="M8" s="15" t="str">
        <f>VLOOKUP(K8,'Chemical List (Alfalfa)'!$A$21:$F$31,4,FALSE)</f>
        <v>None</v>
      </c>
      <c r="N8" s="347">
        <v>0</v>
      </c>
      <c r="O8" s="348">
        <f>VLOOKUP(K8,'Chemical List (Alfalfa)'!$A$21:$F$31,3,FALSE)</f>
        <v>1</v>
      </c>
      <c r="P8" s="349">
        <v>0</v>
      </c>
      <c r="Q8" s="41">
        <f>VLOOKUP(K8,'Chemical List (Alfalfa)'!$A$21:$F$31,2,FALSE)</f>
        <v>0</v>
      </c>
      <c r="R8" s="43">
        <f t="shared" si="1"/>
        <v>0</v>
      </c>
      <c r="S8" s="22"/>
      <c r="T8" s="22"/>
      <c r="U8" s="338" t="s">
        <v>13</v>
      </c>
      <c r="V8" s="41">
        <f>VLOOKUP($U8,'Chemical List (Grass)'!$A$4:$F$94,6,FALSE)</f>
        <v>0</v>
      </c>
      <c r="W8" s="15" t="str">
        <f>VLOOKUP(U8,'Chemical List (Grass)'!$A$4:$D$94,4,FALSE)</f>
        <v>None</v>
      </c>
      <c r="X8" s="347">
        <v>0</v>
      </c>
      <c r="Y8" s="348">
        <f>VLOOKUP(U8,'Chemical List (Grass)'!$A$4:$D$94,3,FALSE)</f>
        <v>1</v>
      </c>
      <c r="Z8" s="349">
        <v>0</v>
      </c>
      <c r="AA8" s="41">
        <f>VLOOKUP(U8,'Chemical List (Grass)'!$A$4:$D$94,2,FALSE)</f>
        <v>0</v>
      </c>
      <c r="AB8" s="43">
        <f t="shared" si="2"/>
        <v>0</v>
      </c>
    </row>
    <row r="9" spans="1:28" ht="15.75">
      <c r="A9" s="338" t="s">
        <v>13</v>
      </c>
      <c r="B9" s="41">
        <f>VLOOKUP(A9,'Chemical List (Alfalfa)'!$A$4:$F$13,6,FALSE)</f>
        <v>0</v>
      </c>
      <c r="C9" s="15" t="str">
        <f>VLOOKUP(A9,'Chemical List (Alfalfa)'!$A$4:$F$13,4,FALSE)</f>
        <v>None</v>
      </c>
      <c r="D9" s="347">
        <v>0</v>
      </c>
      <c r="E9" s="348">
        <f>VLOOKUP(A9,'Chemical List (Alfalfa)'!$A$4:$F$13,3,FALSE)</f>
        <v>1</v>
      </c>
      <c r="F9" s="349">
        <v>0</v>
      </c>
      <c r="G9" s="41">
        <f>VLOOKUP(A9,'Chemical List (Alfalfa)'!$A$4:$F$13,2,FALSE)</f>
        <v>0</v>
      </c>
      <c r="H9" s="43">
        <f t="shared" si="0"/>
        <v>0</v>
      </c>
      <c r="I9" s="18"/>
      <c r="J9" s="22"/>
      <c r="K9" s="338" t="s">
        <v>13</v>
      </c>
      <c r="L9" s="41">
        <f>VLOOKUP(K9,'Chemical List (Alfalfa)'!$A$21:$F$31,6,FALSE)</f>
        <v>0</v>
      </c>
      <c r="M9" s="15" t="str">
        <f>VLOOKUP(K9,'Chemical List (Alfalfa)'!$A$21:$F$31,4,FALSE)</f>
        <v>None</v>
      </c>
      <c r="N9" s="347">
        <v>0</v>
      </c>
      <c r="O9" s="348">
        <f>VLOOKUP(K9,'Chemical List (Alfalfa)'!$A$21:$F$31,3,FALSE)</f>
        <v>1</v>
      </c>
      <c r="P9" s="349">
        <v>0</v>
      </c>
      <c r="Q9" s="41">
        <f>VLOOKUP(K9,'Chemical List (Alfalfa)'!$A$21:$F$31,2,FALSE)</f>
        <v>0</v>
      </c>
      <c r="R9" s="43">
        <f t="shared" si="1"/>
        <v>0</v>
      </c>
      <c r="S9" s="22"/>
      <c r="T9" s="22"/>
      <c r="U9" s="338" t="s">
        <v>13</v>
      </c>
      <c r="V9" s="41">
        <f>VLOOKUP($U9,'Chemical List (Grass)'!$A$4:$F$94,6,FALSE)</f>
        <v>0</v>
      </c>
      <c r="W9" s="15" t="str">
        <f>VLOOKUP(U9,'Chemical List (Grass)'!$A$4:$D$94,4,FALSE)</f>
        <v>None</v>
      </c>
      <c r="X9" s="347">
        <v>0</v>
      </c>
      <c r="Y9" s="348">
        <f>VLOOKUP(U9,'Chemical List (Grass)'!$A$4:$D$94,3,FALSE)</f>
        <v>1</v>
      </c>
      <c r="Z9" s="349">
        <v>0</v>
      </c>
      <c r="AA9" s="41">
        <f>VLOOKUP(U9,'Chemical List (Grass)'!$A$4:$D$94,2,FALSE)</f>
        <v>0</v>
      </c>
      <c r="AB9" s="43">
        <f t="shared" si="2"/>
        <v>0</v>
      </c>
    </row>
    <row r="10" spans="1:28" ht="15.75">
      <c r="A10" s="338" t="s">
        <v>13</v>
      </c>
      <c r="B10" s="41">
        <f>VLOOKUP(A10,'Chemical List (Alfalfa)'!$A$4:$F$13,6,FALSE)</f>
        <v>0</v>
      </c>
      <c r="C10" s="15" t="str">
        <f>VLOOKUP(A10,'Chemical List (Alfalfa)'!$A$4:$F$13,4,FALSE)</f>
        <v>None</v>
      </c>
      <c r="D10" s="347">
        <v>0</v>
      </c>
      <c r="E10" s="348">
        <f>VLOOKUP(A10,'Chemical List (Alfalfa)'!$A$4:$F$13,3,FALSE)</f>
        <v>1</v>
      </c>
      <c r="F10" s="349">
        <v>0</v>
      </c>
      <c r="G10" s="41">
        <f>VLOOKUP(A10,'Chemical List (Alfalfa)'!$A$4:$F$13,2,FALSE)</f>
        <v>0</v>
      </c>
      <c r="H10" s="43">
        <f t="shared" si="0"/>
        <v>0</v>
      </c>
      <c r="I10" s="18"/>
      <c r="J10" s="22"/>
      <c r="K10" s="338" t="s">
        <v>13</v>
      </c>
      <c r="L10" s="41">
        <f>VLOOKUP(K10,'Chemical List (Alfalfa)'!$A$21:$F$31,6,FALSE)</f>
        <v>0</v>
      </c>
      <c r="M10" s="15" t="str">
        <f>VLOOKUP(K10,'Chemical List (Alfalfa)'!$A$21:$F$31,4,FALSE)</f>
        <v>None</v>
      </c>
      <c r="N10" s="347">
        <v>0</v>
      </c>
      <c r="O10" s="348">
        <f>VLOOKUP(K10,'Chemical List (Alfalfa)'!$A$21:$F$31,3,FALSE)</f>
        <v>1</v>
      </c>
      <c r="P10" s="349">
        <v>0</v>
      </c>
      <c r="Q10" s="41">
        <f>VLOOKUP(K10,'Chemical List (Alfalfa)'!$A$21:$F$31,2,FALSE)</f>
        <v>0</v>
      </c>
      <c r="R10" s="43">
        <f t="shared" si="1"/>
        <v>0</v>
      </c>
      <c r="S10" s="22"/>
      <c r="T10" s="22"/>
      <c r="U10" s="338" t="s">
        <v>13</v>
      </c>
      <c r="V10" s="41">
        <f>VLOOKUP($U10,'Chemical List (Grass)'!$A$4:$F$94,6,FALSE)</f>
        <v>0</v>
      </c>
      <c r="W10" s="15" t="str">
        <f>VLOOKUP(U10,'Chemical List (Grass)'!$A$4:$D$94,4,FALSE)</f>
        <v>None</v>
      </c>
      <c r="X10" s="347">
        <v>0</v>
      </c>
      <c r="Y10" s="348">
        <f>VLOOKUP(U10,'Chemical List (Grass)'!$A$4:$D$94,3,FALSE)</f>
        <v>1</v>
      </c>
      <c r="Z10" s="349">
        <v>0</v>
      </c>
      <c r="AA10" s="41">
        <f>VLOOKUP(U10,'Chemical List (Grass)'!$A$4:$D$94,2,FALSE)</f>
        <v>0</v>
      </c>
      <c r="AB10" s="43">
        <f t="shared" si="2"/>
        <v>0</v>
      </c>
    </row>
    <row r="11" spans="1:28" ht="15.75">
      <c r="A11" s="45"/>
      <c r="B11" s="46"/>
      <c r="C11" s="47"/>
      <c r="D11" s="100"/>
      <c r="E11" s="102"/>
      <c r="F11" s="101"/>
      <c r="G11" s="9"/>
      <c r="H11" s="43"/>
      <c r="I11" s="18"/>
      <c r="J11" s="22"/>
      <c r="K11" s="45"/>
      <c r="L11" s="46"/>
      <c r="M11" s="47"/>
      <c r="N11" s="100"/>
      <c r="O11" s="102"/>
      <c r="P11" s="101"/>
      <c r="Q11" s="9"/>
      <c r="R11" s="43"/>
      <c r="S11" s="22"/>
      <c r="T11" s="22"/>
      <c r="U11" s="45"/>
      <c r="V11" s="46"/>
      <c r="W11" s="47"/>
      <c r="X11" s="100"/>
      <c r="Y11" s="102"/>
      <c r="Z11" s="101"/>
      <c r="AA11" s="9"/>
      <c r="AB11" s="43"/>
    </row>
    <row r="12" spans="1:28" ht="15.75">
      <c r="A12" s="103" t="s">
        <v>345</v>
      </c>
      <c r="B12" s="94"/>
      <c r="C12" s="23"/>
      <c r="D12" s="77" t="s">
        <v>143</v>
      </c>
      <c r="E12" s="19"/>
      <c r="F12" s="77" t="s">
        <v>143</v>
      </c>
      <c r="G12" s="36"/>
      <c r="H12" s="97"/>
      <c r="I12" s="98"/>
      <c r="J12" s="22"/>
      <c r="K12" s="103" t="s">
        <v>345</v>
      </c>
      <c r="L12" s="94"/>
      <c r="M12" s="23"/>
      <c r="N12" s="77" t="s">
        <v>143</v>
      </c>
      <c r="O12" s="19"/>
      <c r="P12" s="77" t="s">
        <v>143</v>
      </c>
      <c r="Q12" s="36"/>
      <c r="R12" s="97"/>
      <c r="S12" s="22"/>
      <c r="T12" s="22"/>
      <c r="U12" s="103" t="s">
        <v>345</v>
      </c>
      <c r="V12" s="94"/>
      <c r="W12" s="23"/>
      <c r="X12" s="78" t="s">
        <v>143</v>
      </c>
      <c r="Y12" s="118"/>
      <c r="Z12" s="76" t="s">
        <v>143</v>
      </c>
      <c r="AA12" s="36"/>
      <c r="AB12" s="97"/>
    </row>
    <row r="13" spans="1:28" ht="15.75">
      <c r="A13" s="338" t="s">
        <v>13</v>
      </c>
      <c r="B13" s="104"/>
      <c r="C13" s="15" t="str">
        <f>VLOOKUP(A13,'Chemical List (Grass)'!$A$99:$D$109,4,FALSE)</f>
        <v>None</v>
      </c>
      <c r="D13" s="347">
        <v>0</v>
      </c>
      <c r="E13" s="348">
        <f>VLOOKUP(A13,'Chemical List (Grass)'!$A$99:$D$109,3,FALSE)</f>
        <v>1</v>
      </c>
      <c r="F13" s="349">
        <v>0</v>
      </c>
      <c r="G13" s="41">
        <f>VLOOKUP(A13,'Chemical List (Grass)'!$A$99:$D$109,2,FALSE)</f>
        <v>0</v>
      </c>
      <c r="H13" s="43">
        <f>F13/E13*D13</f>
        <v>0</v>
      </c>
      <c r="I13" s="18"/>
      <c r="J13" s="22"/>
      <c r="K13" s="338" t="s">
        <v>13</v>
      </c>
      <c r="L13" s="104"/>
      <c r="M13" s="15" t="str">
        <f>VLOOKUP(K13,'Chemical List (Grass)'!$A$99:$D$109,4,FALSE)</f>
        <v>None</v>
      </c>
      <c r="N13" s="347">
        <v>0</v>
      </c>
      <c r="O13" s="348">
        <f>VLOOKUP(K13,'Chemical List (Grass)'!$A$99:$D$109,3,FALSE)</f>
        <v>1</v>
      </c>
      <c r="P13" s="349">
        <v>0</v>
      </c>
      <c r="Q13" s="41">
        <f>VLOOKUP(K13,'Chemical List (Grass)'!$A$99:$D$109,2,FALSE)</f>
        <v>0</v>
      </c>
      <c r="R13" s="43">
        <f>P13/O13*N13</f>
        <v>0</v>
      </c>
      <c r="S13" s="22"/>
      <c r="T13" s="22"/>
      <c r="U13" s="338" t="s">
        <v>13</v>
      </c>
      <c r="V13" s="104"/>
      <c r="W13" s="15" t="str">
        <f>VLOOKUP(U13,'Chemical List (Grass)'!$A$99:$D$109,4,FALSE)</f>
        <v>None</v>
      </c>
      <c r="X13" s="347">
        <v>0</v>
      </c>
      <c r="Y13" s="348">
        <f>VLOOKUP(U13,'Chemical List (Grass)'!$A$99:$D$109,3,FALSE)</f>
        <v>1</v>
      </c>
      <c r="Z13" s="349">
        <v>0</v>
      </c>
      <c r="AA13" s="41">
        <f>VLOOKUP(U13,'Chemical List (Grass)'!$A$99:$D$109,2,FALSE)</f>
        <v>0</v>
      </c>
      <c r="AB13" s="43">
        <f>Z13/Y13*X13</f>
        <v>0</v>
      </c>
    </row>
    <row r="14" spans="1:28" ht="15.75">
      <c r="A14" s="338" t="s">
        <v>13</v>
      </c>
      <c r="B14" s="104"/>
      <c r="C14" s="15" t="str">
        <f>VLOOKUP(A14,'Chemical List (Grass)'!$A$99:$D$109,4,FALSE)</f>
        <v>None</v>
      </c>
      <c r="D14" s="347">
        <v>0</v>
      </c>
      <c r="E14" s="348">
        <f>VLOOKUP(A14,'Chemical List (Grass)'!$A$99:$D$109,3,FALSE)</f>
        <v>1</v>
      </c>
      <c r="F14" s="349">
        <v>0</v>
      </c>
      <c r="G14" s="41">
        <f>VLOOKUP(A14,'Chemical List (Grass)'!$A$99:$D$109,2,FALSE)</f>
        <v>0</v>
      </c>
      <c r="H14" s="43">
        <f t="shared" ref="H14:H17" si="3">F14/E14*D14</f>
        <v>0</v>
      </c>
      <c r="I14" s="18"/>
      <c r="J14" s="22"/>
      <c r="K14" s="338" t="s">
        <v>13</v>
      </c>
      <c r="L14" s="104"/>
      <c r="M14" s="15" t="str">
        <f>VLOOKUP(K14,'Chemical List (Grass)'!$A$99:$D$109,4,FALSE)</f>
        <v>None</v>
      </c>
      <c r="N14" s="347">
        <v>0</v>
      </c>
      <c r="O14" s="348">
        <f>VLOOKUP(K14,'Chemical List (Grass)'!$A$99:$D$109,3,FALSE)</f>
        <v>1</v>
      </c>
      <c r="P14" s="349">
        <v>0</v>
      </c>
      <c r="Q14" s="41">
        <f>VLOOKUP(K14,'Chemical List (Grass)'!$A$99:$D$109,2,FALSE)</f>
        <v>0</v>
      </c>
      <c r="R14" s="43">
        <f t="shared" ref="R14:R17" si="4">P14/O14*N14</f>
        <v>0</v>
      </c>
      <c r="S14" s="22"/>
      <c r="T14" s="22"/>
      <c r="U14" s="338" t="s">
        <v>13</v>
      </c>
      <c r="V14" s="104"/>
      <c r="W14" s="15" t="str">
        <f>VLOOKUP(U14,'Chemical List (Grass)'!$A$99:$D$109,4,FALSE)</f>
        <v>None</v>
      </c>
      <c r="X14" s="347">
        <v>0</v>
      </c>
      <c r="Y14" s="348">
        <f>VLOOKUP(U14,'Chemical List (Grass)'!$A$99:$D$109,3,FALSE)</f>
        <v>1</v>
      </c>
      <c r="Z14" s="349">
        <v>0</v>
      </c>
      <c r="AA14" s="41">
        <f>VLOOKUP(U14,'Chemical List (Grass)'!$A$99:$D$109,2,FALSE)</f>
        <v>0</v>
      </c>
      <c r="AB14" s="43">
        <f t="shared" ref="AB14:AB17" si="5">Z14/Y14*X14</f>
        <v>0</v>
      </c>
    </row>
    <row r="15" spans="1:28" ht="15.75">
      <c r="A15" s="338" t="s">
        <v>13</v>
      </c>
      <c r="B15" s="104"/>
      <c r="C15" s="15" t="str">
        <f>VLOOKUP(A15,'Chemical List (Grass)'!$A$99:$D$109,4,FALSE)</f>
        <v>None</v>
      </c>
      <c r="D15" s="347">
        <v>0</v>
      </c>
      <c r="E15" s="348">
        <f>VLOOKUP(A15,'Chemical List (Grass)'!$A$99:$D$109,3,FALSE)</f>
        <v>1</v>
      </c>
      <c r="F15" s="349">
        <v>0</v>
      </c>
      <c r="G15" s="41">
        <f>VLOOKUP(A15,'Chemical List (Grass)'!$A$99:$D$109,2,FALSE)</f>
        <v>0</v>
      </c>
      <c r="H15" s="43">
        <f t="shared" si="3"/>
        <v>0</v>
      </c>
      <c r="I15" s="18"/>
      <c r="J15" s="243" t="s">
        <v>363</v>
      </c>
      <c r="K15" s="338" t="s">
        <v>13</v>
      </c>
      <c r="L15" s="104"/>
      <c r="M15" s="15" t="str">
        <f>VLOOKUP(K15,'Chemical List (Grass)'!$A$99:$D$109,4,FALSE)</f>
        <v>None</v>
      </c>
      <c r="N15" s="347">
        <v>0</v>
      </c>
      <c r="O15" s="348">
        <f>VLOOKUP(K15,'Chemical List (Grass)'!$A$99:$D$109,3,FALSE)</f>
        <v>1</v>
      </c>
      <c r="P15" s="349">
        <v>0</v>
      </c>
      <c r="Q15" s="41">
        <f>VLOOKUP(K15,'Chemical List (Grass)'!$A$99:$D$109,2,FALSE)</f>
        <v>0</v>
      </c>
      <c r="R15" s="43">
        <f t="shared" si="4"/>
        <v>0</v>
      </c>
      <c r="S15" s="22"/>
      <c r="T15" s="243" t="s">
        <v>363</v>
      </c>
      <c r="U15" s="338" t="s">
        <v>13</v>
      </c>
      <c r="V15" s="104"/>
      <c r="W15" s="15" t="str">
        <f>VLOOKUP(U15,'Chemical List (Grass)'!$A$99:$D$109,4,FALSE)</f>
        <v>None</v>
      </c>
      <c r="X15" s="347">
        <v>0</v>
      </c>
      <c r="Y15" s="348">
        <f>VLOOKUP(U15,'Chemical List (Grass)'!$A$99:$D$109,3,FALSE)</f>
        <v>1</v>
      </c>
      <c r="Z15" s="349">
        <v>0</v>
      </c>
      <c r="AA15" s="41">
        <f>VLOOKUP(U15,'Chemical List (Grass)'!$A$99:$D$109,2,FALSE)</f>
        <v>0</v>
      </c>
      <c r="AB15" s="43">
        <f t="shared" si="5"/>
        <v>0</v>
      </c>
    </row>
    <row r="16" spans="1:28" ht="15.75">
      <c r="A16" s="338" t="s">
        <v>13</v>
      </c>
      <c r="B16" s="104"/>
      <c r="C16" s="15" t="str">
        <f>VLOOKUP(A16,'Chemical List (Grass)'!$A$99:$D$109,4,FALSE)</f>
        <v>None</v>
      </c>
      <c r="D16" s="347">
        <v>0</v>
      </c>
      <c r="E16" s="348">
        <f>VLOOKUP(A16,'Chemical List (Grass)'!$A$99:$D$109,3,FALSE)</f>
        <v>1</v>
      </c>
      <c r="F16" s="349">
        <v>0</v>
      </c>
      <c r="G16" s="41">
        <f>VLOOKUP(A16,'Chemical List (Grass)'!$A$99:$D$109,2,FALSE)</f>
        <v>0</v>
      </c>
      <c r="H16" s="43">
        <f t="shared" si="3"/>
        <v>0</v>
      </c>
      <c r="I16" s="18"/>
      <c r="J16" s="243" t="s">
        <v>364</v>
      </c>
      <c r="K16" s="338" t="s">
        <v>13</v>
      </c>
      <c r="L16" s="104"/>
      <c r="M16" s="15" t="str">
        <f>VLOOKUP(K16,'Chemical List (Grass)'!$A$99:$D$109,4,FALSE)</f>
        <v>None</v>
      </c>
      <c r="N16" s="347">
        <v>0</v>
      </c>
      <c r="O16" s="348">
        <f>VLOOKUP(K16,'Chemical List (Grass)'!$A$99:$D$109,3,FALSE)</f>
        <v>1</v>
      </c>
      <c r="P16" s="349">
        <v>0</v>
      </c>
      <c r="Q16" s="41">
        <f>VLOOKUP(K16,'Chemical List (Grass)'!$A$99:$D$109,2,FALSE)</f>
        <v>0</v>
      </c>
      <c r="R16" s="43">
        <f t="shared" si="4"/>
        <v>0</v>
      </c>
      <c r="S16" s="22"/>
      <c r="T16" s="243" t="s">
        <v>364</v>
      </c>
      <c r="U16" s="338" t="s">
        <v>13</v>
      </c>
      <c r="V16" s="104"/>
      <c r="W16" s="15" t="str">
        <f>VLOOKUP(U16,'Chemical List (Grass)'!$A$99:$D$109,4,FALSE)</f>
        <v>None</v>
      </c>
      <c r="X16" s="347">
        <v>0</v>
      </c>
      <c r="Y16" s="348">
        <f>VLOOKUP(U16,'Chemical List (Grass)'!$A$99:$D$109,3,FALSE)</f>
        <v>1</v>
      </c>
      <c r="Z16" s="349">
        <v>0</v>
      </c>
      <c r="AA16" s="41">
        <f>VLOOKUP(U16,'Chemical List (Grass)'!$A$99:$D$109,2,FALSE)</f>
        <v>0</v>
      </c>
      <c r="AB16" s="43">
        <f t="shared" si="5"/>
        <v>0</v>
      </c>
    </row>
    <row r="17" spans="1:28" ht="15.75">
      <c r="A17" s="338" t="s">
        <v>13</v>
      </c>
      <c r="B17" s="104"/>
      <c r="C17" s="15" t="str">
        <f>VLOOKUP(A17,'Chemical List (Grass)'!$A$99:$D$109,4,FALSE)</f>
        <v>None</v>
      </c>
      <c r="D17" s="347">
        <v>0</v>
      </c>
      <c r="E17" s="348">
        <f>VLOOKUP(A17,'Chemical List (Grass)'!$A$99:$D$109,3,FALSE)</f>
        <v>1</v>
      </c>
      <c r="F17" s="349">
        <v>0</v>
      </c>
      <c r="G17" s="41">
        <f>VLOOKUP(A17,'Chemical List (Grass)'!$A$99:$D$109,2,FALSE)</f>
        <v>0</v>
      </c>
      <c r="H17" s="43">
        <f t="shared" si="3"/>
        <v>0</v>
      </c>
      <c r="I17" s="18"/>
      <c r="J17" s="750" t="s">
        <v>362</v>
      </c>
      <c r="K17" s="338" t="s">
        <v>13</v>
      </c>
      <c r="L17" s="104"/>
      <c r="M17" s="15" t="str">
        <f>VLOOKUP(K17,'Chemical List (Grass)'!$A$99:$D$109,4,FALSE)</f>
        <v>None</v>
      </c>
      <c r="N17" s="347">
        <v>0</v>
      </c>
      <c r="O17" s="348">
        <f>VLOOKUP(K17,'Chemical List (Grass)'!$A$99:$D$109,3,FALSE)</f>
        <v>1</v>
      </c>
      <c r="P17" s="349">
        <v>0</v>
      </c>
      <c r="Q17" s="41">
        <f>VLOOKUP(K17,'Chemical List (Grass)'!$A$99:$D$109,2,FALSE)</f>
        <v>0</v>
      </c>
      <c r="R17" s="43">
        <f t="shared" si="4"/>
        <v>0</v>
      </c>
      <c r="S17" s="22"/>
      <c r="T17" s="750" t="s">
        <v>362</v>
      </c>
      <c r="U17" s="338" t="s">
        <v>13</v>
      </c>
      <c r="V17" s="104"/>
      <c r="W17" s="15" t="str">
        <f>VLOOKUP(U17,'Chemical List (Grass)'!$A$99:$D$109,4,FALSE)</f>
        <v>None</v>
      </c>
      <c r="X17" s="347">
        <v>0</v>
      </c>
      <c r="Y17" s="348">
        <f>VLOOKUP(U17,'Chemical List (Grass)'!$A$99:$D$109,3,FALSE)</f>
        <v>1</v>
      </c>
      <c r="Z17" s="349">
        <v>0</v>
      </c>
      <c r="AA17" s="41">
        <f>VLOOKUP(U17,'Chemical List (Grass)'!$A$99:$D$109,2,FALSE)</f>
        <v>0</v>
      </c>
      <c r="AB17" s="43">
        <f t="shared" si="5"/>
        <v>0</v>
      </c>
    </row>
    <row r="18" spans="1:28" ht="15.75" customHeight="1">
      <c r="A18" s="37"/>
      <c r="B18" s="38"/>
      <c r="C18" s="39"/>
      <c r="D18" s="40"/>
      <c r="E18" s="41"/>
      <c r="F18" s="42"/>
      <c r="G18" s="41"/>
      <c r="H18" s="43"/>
      <c r="I18" s="18"/>
      <c r="J18" s="751"/>
      <c r="K18" s="37"/>
      <c r="L18" s="38"/>
      <c r="M18" s="39"/>
      <c r="N18" s="40"/>
      <c r="O18" s="41"/>
      <c r="P18" s="42"/>
      <c r="Q18" s="41"/>
      <c r="R18" s="43"/>
      <c r="S18" s="22"/>
      <c r="T18" s="751"/>
      <c r="U18" s="37"/>
      <c r="V18" s="38"/>
      <c r="W18" s="39"/>
      <c r="X18" s="40"/>
      <c r="Y18" s="41"/>
      <c r="Z18" s="42"/>
      <c r="AA18" s="41"/>
      <c r="AB18" s="43"/>
    </row>
    <row r="19" spans="1:28" ht="16.5" customHeight="1" thickBot="1">
      <c r="A19" s="208" t="s">
        <v>151</v>
      </c>
      <c r="B19" s="209"/>
      <c r="C19" s="205"/>
      <c r="D19" s="205"/>
      <c r="E19" s="205"/>
      <c r="F19" s="205"/>
      <c r="G19" s="206"/>
      <c r="H19" s="207">
        <f>SUM(H6:H17)</f>
        <v>0</v>
      </c>
      <c r="I19" s="106"/>
      <c r="J19" s="22"/>
      <c r="K19" s="208" t="s">
        <v>151</v>
      </c>
      <c r="L19" s="209"/>
      <c r="M19" s="205"/>
      <c r="N19" s="205"/>
      <c r="O19" s="205"/>
      <c r="P19" s="205"/>
      <c r="Q19" s="206"/>
      <c r="R19" s="207">
        <f>SUM(R6:R17)</f>
        <v>0</v>
      </c>
      <c r="S19" s="2"/>
      <c r="T19" s="2"/>
      <c r="U19" s="208" t="s">
        <v>151</v>
      </c>
      <c r="V19" s="209"/>
      <c r="W19" s="205"/>
      <c r="X19" s="205"/>
      <c r="Y19" s="205"/>
      <c r="Z19" s="205"/>
      <c r="AA19" s="206"/>
      <c r="AB19" s="207">
        <f>SUM(AB6:AB17)</f>
        <v>0</v>
      </c>
    </row>
    <row r="20" spans="1:28" ht="16.5" thickTop="1">
      <c r="A20" s="37"/>
      <c r="B20" s="38"/>
      <c r="C20" s="39"/>
      <c r="D20" s="40"/>
      <c r="E20" s="41"/>
      <c r="F20" s="42"/>
      <c r="G20" s="41"/>
      <c r="H20" s="43"/>
      <c r="I20" s="44"/>
      <c r="J20"/>
      <c r="K20" s="37"/>
      <c r="L20" s="38"/>
      <c r="M20" s="39"/>
      <c r="N20" s="40"/>
      <c r="O20" s="41"/>
      <c r="P20" s="42"/>
      <c r="Q20" s="41"/>
      <c r="R20" s="43"/>
      <c r="S20"/>
      <c r="T20"/>
      <c r="U20" s="37"/>
      <c r="V20" s="38"/>
      <c r="W20" s="39"/>
      <c r="X20" s="40"/>
      <c r="Y20" s="41"/>
      <c r="Z20" s="42"/>
      <c r="AA20" s="41"/>
      <c r="AB20" s="43"/>
    </row>
    <row r="21" spans="1:28" ht="16.5" thickBot="1">
      <c r="A21" s="45"/>
      <c r="B21" s="46"/>
      <c r="C21" s="47"/>
      <c r="D21" s="44"/>
      <c r="E21" s="48"/>
      <c r="F21" s="49"/>
      <c r="G21" s="9"/>
      <c r="H21" s="43"/>
      <c r="I21" s="44"/>
      <c r="J21"/>
      <c r="K21" s="45"/>
      <c r="L21" s="46"/>
      <c r="M21" s="47"/>
      <c r="N21" s="44"/>
      <c r="O21" s="48"/>
      <c r="P21" s="49"/>
      <c r="Q21" s="9"/>
      <c r="R21" s="43"/>
      <c r="S21"/>
      <c r="T21"/>
      <c r="U21" s="45"/>
      <c r="V21" s="46"/>
      <c r="W21" s="47"/>
      <c r="X21" s="44"/>
      <c r="Y21" s="48"/>
      <c r="Z21" s="49"/>
      <c r="AA21" s="9"/>
      <c r="AB21" s="43"/>
    </row>
    <row r="22" spans="1:28" ht="16.5" thickBot="1">
      <c r="A22" s="747" t="s">
        <v>570</v>
      </c>
      <c r="B22" s="748"/>
      <c r="C22" s="748"/>
      <c r="D22" s="748"/>
      <c r="E22" s="748"/>
      <c r="F22" s="748"/>
      <c r="G22" s="748"/>
      <c r="H22" s="749"/>
      <c r="I22" s="60"/>
      <c r="J22" s="2"/>
      <c r="K22" s="747" t="s">
        <v>570</v>
      </c>
      <c r="L22" s="748"/>
      <c r="M22" s="748"/>
      <c r="N22" s="748"/>
      <c r="O22" s="748"/>
      <c r="P22" s="748"/>
      <c r="Q22" s="748"/>
      <c r="R22" s="749"/>
      <c r="S22" s="2"/>
      <c r="T22" s="2"/>
      <c r="U22" s="747" t="s">
        <v>152</v>
      </c>
      <c r="V22" s="748"/>
      <c r="W22" s="748"/>
      <c r="X22" s="748"/>
      <c r="Y22" s="748"/>
      <c r="Z22" s="748"/>
      <c r="AA22" s="748"/>
      <c r="AB22" s="749"/>
    </row>
    <row r="23" spans="1:28" ht="31.5">
      <c r="A23" s="88" t="s">
        <v>121</v>
      </c>
      <c r="B23" s="89" t="s">
        <v>213</v>
      </c>
      <c r="C23" s="90" t="s">
        <v>122</v>
      </c>
      <c r="D23" s="89" t="s">
        <v>123</v>
      </c>
      <c r="E23" s="90" t="s">
        <v>12</v>
      </c>
      <c r="F23" s="90" t="s">
        <v>124</v>
      </c>
      <c r="G23" s="89" t="s">
        <v>293</v>
      </c>
      <c r="H23" s="91" t="s">
        <v>125</v>
      </c>
      <c r="I23" s="92"/>
      <c r="J23" s="2"/>
      <c r="K23" s="88" t="s">
        <v>121</v>
      </c>
      <c r="L23" s="89" t="s">
        <v>213</v>
      </c>
      <c r="M23" s="90" t="s">
        <v>122</v>
      </c>
      <c r="N23" s="89" t="s">
        <v>123</v>
      </c>
      <c r="O23" s="90" t="s">
        <v>12</v>
      </c>
      <c r="P23" s="90" t="s">
        <v>124</v>
      </c>
      <c r="Q23" s="89" t="s">
        <v>293</v>
      </c>
      <c r="R23" s="91" t="s">
        <v>125</v>
      </c>
      <c r="S23" s="2"/>
      <c r="T23" s="2"/>
      <c r="U23" s="88" t="s">
        <v>121</v>
      </c>
      <c r="V23" s="89" t="s">
        <v>213</v>
      </c>
      <c r="W23" s="90" t="s">
        <v>122</v>
      </c>
      <c r="X23" s="89" t="s">
        <v>123</v>
      </c>
      <c r="Y23" s="90" t="s">
        <v>12</v>
      </c>
      <c r="Z23" s="90" t="s">
        <v>124</v>
      </c>
      <c r="AA23" s="89" t="s">
        <v>293</v>
      </c>
      <c r="AB23" s="91" t="s">
        <v>125</v>
      </c>
    </row>
    <row r="24" spans="1:28" ht="15.75">
      <c r="A24" s="93" t="s">
        <v>344</v>
      </c>
      <c r="B24" s="94"/>
      <c r="C24" s="23"/>
      <c r="D24" s="77" t="s">
        <v>143</v>
      </c>
      <c r="E24" s="116"/>
      <c r="F24" s="77" t="s">
        <v>143</v>
      </c>
      <c r="G24" s="36"/>
      <c r="H24" s="97"/>
      <c r="I24" s="98"/>
      <c r="J24" s="22"/>
      <c r="K24" s="93" t="s">
        <v>344</v>
      </c>
      <c r="L24" s="94"/>
      <c r="M24" s="23"/>
      <c r="N24" s="77" t="s">
        <v>143</v>
      </c>
      <c r="O24" s="116"/>
      <c r="P24" s="77" t="s">
        <v>143</v>
      </c>
      <c r="Q24" s="36"/>
      <c r="R24" s="97"/>
      <c r="S24" s="22"/>
      <c r="T24" s="22"/>
      <c r="U24" s="93" t="s">
        <v>344</v>
      </c>
      <c r="V24" s="94"/>
      <c r="W24" s="23"/>
      <c r="X24" s="77" t="s">
        <v>143</v>
      </c>
      <c r="Y24" s="116"/>
      <c r="Z24" s="77" t="s">
        <v>143</v>
      </c>
      <c r="AA24" s="36"/>
      <c r="AB24" s="97"/>
    </row>
    <row r="25" spans="1:28" ht="15.75">
      <c r="A25" s="338" t="s">
        <v>13</v>
      </c>
      <c r="B25" s="41">
        <f>VLOOKUP(A25,'Chemical List (Alfalfa)'!$A$21:$F$31,6,FALSE)</f>
        <v>0</v>
      </c>
      <c r="C25" s="15" t="str">
        <f>VLOOKUP(A25,'Chemical List (Alfalfa)'!$A$21:$F$31,4,FALSE)</f>
        <v>None</v>
      </c>
      <c r="D25" s="347">
        <v>0</v>
      </c>
      <c r="E25" s="348">
        <f>VLOOKUP(A25,'Chemical List (Alfalfa)'!$A$21:$F$31,3,FALSE)</f>
        <v>1</v>
      </c>
      <c r="F25" s="349">
        <v>0</v>
      </c>
      <c r="G25" s="41">
        <f>VLOOKUP(A25,'Chemical List (Alfalfa)'!$A$21:$F$31,2,FALSE)</f>
        <v>0</v>
      </c>
      <c r="H25" s="43">
        <f>F25/E25*D25</f>
        <v>0</v>
      </c>
      <c r="I25" s="18"/>
      <c r="J25" s="22"/>
      <c r="K25" s="338" t="s">
        <v>13</v>
      </c>
      <c r="L25" s="41">
        <f>VLOOKUP(K25,'Chemical List (Alfalfa)'!$A$21:$F$31,6,FALSE)</f>
        <v>0</v>
      </c>
      <c r="M25" s="15" t="str">
        <f>VLOOKUP(K25,'Chemical List (Alfalfa)'!$A$21:$F$31,4,FALSE)</f>
        <v>None</v>
      </c>
      <c r="N25" s="347">
        <v>0</v>
      </c>
      <c r="O25" s="348">
        <f>VLOOKUP(K25,'Chemical List (Alfalfa)'!$A$21:$F$31,3,FALSE)</f>
        <v>1</v>
      </c>
      <c r="P25" s="349">
        <v>0</v>
      </c>
      <c r="Q25" s="41">
        <f>VLOOKUP(K25,'Chemical List (Alfalfa)'!$A$21:$F$31,2,FALSE)</f>
        <v>0</v>
      </c>
      <c r="R25" s="43">
        <f>P25/O25*N25</f>
        <v>0</v>
      </c>
      <c r="S25" s="22"/>
      <c r="T25" s="22"/>
      <c r="U25" s="338" t="s">
        <v>13</v>
      </c>
      <c r="V25" s="41">
        <f>VLOOKUP(U25,'Chemical List (Grass)'!$A$25:$F$94,6,FALSE)</f>
        <v>0</v>
      </c>
      <c r="W25" s="15" t="str">
        <f>VLOOKUP(U25,'Chemical List (Grass)'!$A$4:$D$94,4,FALSE)</f>
        <v>None</v>
      </c>
      <c r="X25" s="347">
        <v>0</v>
      </c>
      <c r="Y25" s="348">
        <f>VLOOKUP(U25,'Chemical List (Grass)'!$A$4:$D$94,3,FALSE)</f>
        <v>1</v>
      </c>
      <c r="Z25" s="349">
        <v>0</v>
      </c>
      <c r="AA25" s="41">
        <f>VLOOKUP(U25,'Chemical List (Grass)'!$A$4:$D$94,2,FALSE)</f>
        <v>0</v>
      </c>
      <c r="AB25" s="43">
        <f>Z25/Y25*X25</f>
        <v>0</v>
      </c>
    </row>
    <row r="26" spans="1:28" ht="15.75">
      <c r="A26" s="338" t="s">
        <v>13</v>
      </c>
      <c r="B26" s="41">
        <f>VLOOKUP(A26,'Chemical List (Alfalfa)'!$A$21:$F$31,6,FALSE)</f>
        <v>0</v>
      </c>
      <c r="C26" s="15" t="str">
        <f>VLOOKUP(A26,'Chemical List (Alfalfa)'!$A$21:$F$31,4,FALSE)</f>
        <v>None</v>
      </c>
      <c r="D26" s="347">
        <v>0</v>
      </c>
      <c r="E26" s="348">
        <f>VLOOKUP(A26,'Chemical List (Alfalfa)'!$A$21:$F$31,3,FALSE)</f>
        <v>1</v>
      </c>
      <c r="F26" s="349">
        <v>0</v>
      </c>
      <c r="G26" s="41">
        <f>VLOOKUP(A26,'Chemical List (Alfalfa)'!$A$21:$F$31,2,FALSE)</f>
        <v>0</v>
      </c>
      <c r="H26" s="43">
        <f t="shared" ref="H26:H29" si="6">F26/E26*D26</f>
        <v>0</v>
      </c>
      <c r="I26" s="18"/>
      <c r="J26" s="22"/>
      <c r="K26" s="338" t="s">
        <v>13</v>
      </c>
      <c r="L26" s="41">
        <f>VLOOKUP(K26,'Chemical List (Alfalfa)'!$A$21:$F$31,6,FALSE)</f>
        <v>0</v>
      </c>
      <c r="M26" s="15" t="str">
        <f>VLOOKUP(K26,'Chemical List (Alfalfa)'!$A$21:$F$31,4,FALSE)</f>
        <v>None</v>
      </c>
      <c r="N26" s="347">
        <v>0</v>
      </c>
      <c r="O26" s="348">
        <f>VLOOKUP(K26,'Chemical List (Alfalfa)'!$A$21:$F$31,3,FALSE)</f>
        <v>1</v>
      </c>
      <c r="P26" s="349">
        <v>0</v>
      </c>
      <c r="Q26" s="41">
        <f>VLOOKUP(K26,'Chemical List (Alfalfa)'!$A$21:$F$31,2,FALSE)</f>
        <v>0</v>
      </c>
      <c r="R26" s="43">
        <f t="shared" ref="R26:R29" si="7">P26/O26*N26</f>
        <v>0</v>
      </c>
      <c r="S26" s="22"/>
      <c r="T26" s="22"/>
      <c r="U26" s="338" t="s">
        <v>13</v>
      </c>
      <c r="V26" s="41">
        <f>VLOOKUP(U26,'Chemical List (Grass)'!$A$25:$F$94,6,FALSE)</f>
        <v>0</v>
      </c>
      <c r="W26" s="15" t="str">
        <f>VLOOKUP(U26,'Chemical List (Grass)'!$A$4:$D$94,4,FALSE)</f>
        <v>None</v>
      </c>
      <c r="X26" s="347">
        <v>0</v>
      </c>
      <c r="Y26" s="348">
        <f>VLOOKUP(U26,'Chemical List (Grass)'!$A$4:$D$94,3,FALSE)</f>
        <v>1</v>
      </c>
      <c r="Z26" s="349">
        <v>0</v>
      </c>
      <c r="AA26" s="41">
        <f>VLOOKUP(U26,'Chemical List (Grass)'!$A$4:$D$94,2,FALSE)</f>
        <v>0</v>
      </c>
      <c r="AB26" s="43">
        <f t="shared" ref="AB26:AB29" si="8">Z26/Y26*X26</f>
        <v>0</v>
      </c>
    </row>
    <row r="27" spans="1:28" ht="15.75">
      <c r="A27" s="338" t="s">
        <v>13</v>
      </c>
      <c r="B27" s="41">
        <f>VLOOKUP(A27,'Chemical List (Alfalfa)'!$A$21:$F$31,6,FALSE)</f>
        <v>0</v>
      </c>
      <c r="C27" s="15" t="str">
        <f>VLOOKUP(A27,'Chemical List (Alfalfa)'!$A$21:$F$31,4,FALSE)</f>
        <v>None</v>
      </c>
      <c r="D27" s="347">
        <v>0</v>
      </c>
      <c r="E27" s="348">
        <f>VLOOKUP(A27,'Chemical List (Alfalfa)'!$A$21:$F$31,3,FALSE)</f>
        <v>1</v>
      </c>
      <c r="F27" s="349">
        <v>0</v>
      </c>
      <c r="G27" s="41">
        <f>VLOOKUP(A27,'Chemical List (Alfalfa)'!$A$21:$F$31,2,FALSE)</f>
        <v>0</v>
      </c>
      <c r="H27" s="43">
        <f t="shared" si="6"/>
        <v>0</v>
      </c>
      <c r="I27" s="18"/>
      <c r="J27" s="22"/>
      <c r="K27" s="338" t="s">
        <v>13</v>
      </c>
      <c r="L27" s="41">
        <f>VLOOKUP(K27,'Chemical List (Alfalfa)'!$A$21:$F$31,6,FALSE)</f>
        <v>0</v>
      </c>
      <c r="M27" s="15" t="str">
        <f>VLOOKUP(K27,'Chemical List (Alfalfa)'!$A$21:$F$31,4,FALSE)</f>
        <v>None</v>
      </c>
      <c r="N27" s="347">
        <v>0</v>
      </c>
      <c r="O27" s="348">
        <f>VLOOKUP(K27,'Chemical List (Alfalfa)'!$A$21:$F$31,3,FALSE)</f>
        <v>1</v>
      </c>
      <c r="P27" s="349">
        <v>0</v>
      </c>
      <c r="Q27" s="41">
        <f>VLOOKUP(K27,'Chemical List (Alfalfa)'!$A$21:$F$31,2,FALSE)</f>
        <v>0</v>
      </c>
      <c r="R27" s="43">
        <f t="shared" si="7"/>
        <v>0</v>
      </c>
      <c r="S27" s="22"/>
      <c r="T27" s="22"/>
      <c r="U27" s="338" t="s">
        <v>13</v>
      </c>
      <c r="V27" s="41">
        <f>VLOOKUP(U27,'Chemical List (Grass)'!$A$25:$F$94,6,FALSE)</f>
        <v>0</v>
      </c>
      <c r="W27" s="15" t="str">
        <f>VLOOKUP(U27,'Chemical List (Grass)'!$A$4:$D$94,4,FALSE)</f>
        <v>None</v>
      </c>
      <c r="X27" s="347">
        <v>0</v>
      </c>
      <c r="Y27" s="348">
        <f>VLOOKUP(U27,'Chemical List (Grass)'!$A$4:$D$94,3,FALSE)</f>
        <v>1</v>
      </c>
      <c r="Z27" s="349">
        <v>0</v>
      </c>
      <c r="AA27" s="41">
        <f>VLOOKUP(U27,'Chemical List (Grass)'!$A$4:$D$94,2,FALSE)</f>
        <v>0</v>
      </c>
      <c r="AB27" s="43">
        <f t="shared" si="8"/>
        <v>0</v>
      </c>
    </row>
    <row r="28" spans="1:28" ht="15.75">
      <c r="A28" s="338" t="s">
        <v>13</v>
      </c>
      <c r="B28" s="41">
        <f>VLOOKUP(A28,'Chemical List (Alfalfa)'!$A$21:$F$31,6,FALSE)</f>
        <v>0</v>
      </c>
      <c r="C28" s="15" t="str">
        <f>VLOOKUP(A28,'Chemical List (Alfalfa)'!$A$21:$F$31,4,FALSE)</f>
        <v>None</v>
      </c>
      <c r="D28" s="347">
        <v>0</v>
      </c>
      <c r="E28" s="348">
        <f>VLOOKUP(A28,'Chemical List (Alfalfa)'!$A$21:$F$31,3,FALSE)</f>
        <v>1</v>
      </c>
      <c r="F28" s="349">
        <v>0</v>
      </c>
      <c r="G28" s="41">
        <f>VLOOKUP(A28,'Chemical List (Alfalfa)'!$A$21:$F$31,2,FALSE)</f>
        <v>0</v>
      </c>
      <c r="H28" s="43">
        <f t="shared" si="6"/>
        <v>0</v>
      </c>
      <c r="I28" s="18"/>
      <c r="J28" s="22"/>
      <c r="K28" s="338" t="s">
        <v>13</v>
      </c>
      <c r="L28" s="41">
        <f>VLOOKUP(K28,'Chemical List (Alfalfa)'!$A$21:$F$31,6,FALSE)</f>
        <v>0</v>
      </c>
      <c r="M28" s="15" t="str">
        <f>VLOOKUP(K28,'Chemical List (Alfalfa)'!$A$21:$F$31,4,FALSE)</f>
        <v>None</v>
      </c>
      <c r="N28" s="347">
        <v>0</v>
      </c>
      <c r="O28" s="348">
        <f>VLOOKUP(K28,'Chemical List (Alfalfa)'!$A$21:$F$31,3,FALSE)</f>
        <v>1</v>
      </c>
      <c r="P28" s="349">
        <v>0</v>
      </c>
      <c r="Q28" s="41">
        <f>VLOOKUP(K28,'Chemical List (Alfalfa)'!$A$21:$F$31,2,FALSE)</f>
        <v>0</v>
      </c>
      <c r="R28" s="43">
        <f t="shared" si="7"/>
        <v>0</v>
      </c>
      <c r="S28" s="22"/>
      <c r="T28" s="22"/>
      <c r="U28" s="338" t="s">
        <v>13</v>
      </c>
      <c r="V28" s="41">
        <f>VLOOKUP(U28,'Chemical List (Grass)'!$A$25:$F$94,6,FALSE)</f>
        <v>0</v>
      </c>
      <c r="W28" s="15" t="str">
        <f>VLOOKUP(U28,'Chemical List (Grass)'!$A$4:$D$94,4,FALSE)</f>
        <v>None</v>
      </c>
      <c r="X28" s="347">
        <v>0</v>
      </c>
      <c r="Y28" s="348">
        <f>VLOOKUP(U28,'Chemical List (Grass)'!$A$4:$D$94,3,FALSE)</f>
        <v>1</v>
      </c>
      <c r="Z28" s="349">
        <v>0</v>
      </c>
      <c r="AA28" s="41">
        <f>VLOOKUP(U28,'Chemical List (Grass)'!$A$4:$D$94,2,FALSE)</f>
        <v>0</v>
      </c>
      <c r="AB28" s="43">
        <f t="shared" si="8"/>
        <v>0</v>
      </c>
    </row>
    <row r="29" spans="1:28" ht="15.75">
      <c r="A29" s="338" t="s">
        <v>13</v>
      </c>
      <c r="B29" s="41">
        <f>VLOOKUP(A29,'Chemical List (Alfalfa)'!$A$21:$F$31,6,FALSE)</f>
        <v>0</v>
      </c>
      <c r="C29" s="15" t="str">
        <f>VLOOKUP(A29,'Chemical List (Alfalfa)'!$A$21:$F$31,4,FALSE)</f>
        <v>None</v>
      </c>
      <c r="D29" s="347">
        <v>0</v>
      </c>
      <c r="E29" s="348">
        <f>VLOOKUP(A29,'Chemical List (Alfalfa)'!$A$21:$F$31,3,FALSE)</f>
        <v>1</v>
      </c>
      <c r="F29" s="349">
        <v>0</v>
      </c>
      <c r="G29" s="41">
        <f>VLOOKUP(A29,'Chemical List (Alfalfa)'!$A$21:$F$31,2,FALSE)</f>
        <v>0</v>
      </c>
      <c r="H29" s="43">
        <f t="shared" si="6"/>
        <v>0</v>
      </c>
      <c r="I29" s="18"/>
      <c r="J29" s="22"/>
      <c r="K29" s="338" t="s">
        <v>13</v>
      </c>
      <c r="L29" s="41">
        <f>VLOOKUP(K29,'Chemical List (Alfalfa)'!$A$21:$F$31,6,FALSE)</f>
        <v>0</v>
      </c>
      <c r="M29" s="15" t="str">
        <f>VLOOKUP(K29,'Chemical List (Alfalfa)'!$A$21:$F$31,4,FALSE)</f>
        <v>None</v>
      </c>
      <c r="N29" s="347">
        <v>0</v>
      </c>
      <c r="O29" s="348">
        <f>VLOOKUP(K29,'Chemical List (Alfalfa)'!$A$21:$F$31,3,FALSE)</f>
        <v>1</v>
      </c>
      <c r="P29" s="349">
        <v>0</v>
      </c>
      <c r="Q29" s="41">
        <f>VLOOKUP(K29,'Chemical List (Alfalfa)'!$A$21:$F$31,2,FALSE)</f>
        <v>0</v>
      </c>
      <c r="R29" s="43">
        <f t="shared" si="7"/>
        <v>0</v>
      </c>
      <c r="S29" s="22"/>
      <c r="T29" s="22"/>
      <c r="U29" s="338" t="s">
        <v>13</v>
      </c>
      <c r="V29" s="41">
        <f>VLOOKUP(U29,'Chemical List (Grass)'!$A$25:$F$94,6,FALSE)</f>
        <v>0</v>
      </c>
      <c r="W29" s="15" t="str">
        <f>VLOOKUP(U29,'Chemical List (Grass)'!$A$4:$D$94,4,FALSE)</f>
        <v>None</v>
      </c>
      <c r="X29" s="347">
        <v>0</v>
      </c>
      <c r="Y29" s="348">
        <f>VLOOKUP(U29,'Chemical List (Grass)'!$A$4:$D$94,3,FALSE)</f>
        <v>1</v>
      </c>
      <c r="Z29" s="349">
        <v>0</v>
      </c>
      <c r="AA29" s="41">
        <f>VLOOKUP(U29,'Chemical List (Grass)'!$A$4:$D$94,2,FALSE)</f>
        <v>0</v>
      </c>
      <c r="AB29" s="43">
        <f t="shared" si="8"/>
        <v>0</v>
      </c>
    </row>
    <row r="30" spans="1:28" ht="15.75">
      <c r="A30" s="45"/>
      <c r="B30" s="46"/>
      <c r="C30" s="47"/>
      <c r="D30" s="100"/>
      <c r="E30" s="80"/>
      <c r="F30" s="101"/>
      <c r="G30" s="9"/>
      <c r="H30" s="43"/>
      <c r="I30" s="18"/>
      <c r="J30" s="22"/>
      <c r="K30" s="45"/>
      <c r="L30" s="46"/>
      <c r="M30" s="47"/>
      <c r="N30" s="100"/>
      <c r="O30" s="80"/>
      <c r="P30" s="101"/>
      <c r="Q30" s="9"/>
      <c r="R30" s="43"/>
      <c r="S30" s="22"/>
      <c r="T30" s="22"/>
      <c r="U30" s="45"/>
      <c r="V30" s="46"/>
      <c r="W30" s="47"/>
      <c r="X30" s="100"/>
      <c r="Y30" s="80"/>
      <c r="Z30" s="101"/>
      <c r="AA30" s="9"/>
      <c r="AB30" s="43"/>
    </row>
    <row r="31" spans="1:28" ht="15.75">
      <c r="A31" s="45"/>
      <c r="B31" s="46"/>
      <c r="C31" s="47"/>
      <c r="D31" s="100"/>
      <c r="E31" s="102"/>
      <c r="F31" s="101"/>
      <c r="G31" s="9"/>
      <c r="H31" s="43"/>
      <c r="I31" s="18"/>
      <c r="J31" s="22"/>
      <c r="K31" s="45"/>
      <c r="L31" s="46"/>
      <c r="M31" s="47"/>
      <c r="N31" s="100"/>
      <c r="O31" s="102"/>
      <c r="P31" s="101"/>
      <c r="Q31" s="9"/>
      <c r="R31" s="43"/>
      <c r="S31" s="22"/>
      <c r="T31" s="22"/>
      <c r="U31" s="45"/>
      <c r="V31" s="46"/>
      <c r="W31" s="47"/>
      <c r="X31" s="100"/>
      <c r="Y31" s="102"/>
      <c r="Z31" s="101"/>
      <c r="AA31" s="9"/>
      <c r="AB31" s="43"/>
    </row>
    <row r="32" spans="1:28" ht="15.75">
      <c r="A32" s="103" t="s">
        <v>345</v>
      </c>
      <c r="B32" s="94"/>
      <c r="C32" s="23"/>
      <c r="D32" s="77" t="s">
        <v>143</v>
      </c>
      <c r="E32" s="116"/>
      <c r="F32" s="77" t="s">
        <v>143</v>
      </c>
      <c r="G32" s="13"/>
      <c r="H32" s="107"/>
      <c r="I32" s="98"/>
      <c r="J32" s="22"/>
      <c r="K32" s="103" t="s">
        <v>345</v>
      </c>
      <c r="L32" s="94"/>
      <c r="M32" s="23"/>
      <c r="N32" s="77" t="s">
        <v>143</v>
      </c>
      <c r="O32" s="116"/>
      <c r="P32" s="77" t="s">
        <v>143</v>
      </c>
      <c r="Q32" s="13"/>
      <c r="R32" s="107"/>
      <c r="S32" s="22"/>
      <c r="T32" s="22"/>
      <c r="U32" s="103" t="s">
        <v>345</v>
      </c>
      <c r="V32" s="94"/>
      <c r="W32" s="23"/>
      <c r="X32" s="77" t="s">
        <v>143</v>
      </c>
      <c r="Y32" s="116"/>
      <c r="Z32" s="77" t="s">
        <v>143</v>
      </c>
      <c r="AA32" s="36"/>
      <c r="AB32" s="97"/>
    </row>
    <row r="33" spans="1:28" ht="15.75">
      <c r="A33" s="338" t="s">
        <v>13</v>
      </c>
      <c r="B33" s="104"/>
      <c r="C33" s="15" t="str">
        <f>VLOOKUP(A33,'Chemical List (Grass)'!$A$99:$D$109,4,FALSE)</f>
        <v>None</v>
      </c>
      <c r="D33" s="347">
        <v>0</v>
      </c>
      <c r="E33" s="348">
        <f>VLOOKUP(A33,'Chemical List (Grass)'!$A$99:$D$109,3,FALSE)</f>
        <v>1</v>
      </c>
      <c r="F33" s="349">
        <v>0</v>
      </c>
      <c r="G33" s="16">
        <f>VLOOKUP(A33,'Chemical List (Grass)'!$A$99:$D$109,2,FALSE)</f>
        <v>0</v>
      </c>
      <c r="H33" s="17">
        <f>F33/E33*D33</f>
        <v>0</v>
      </c>
      <c r="I33" s="18"/>
      <c r="J33" s="22"/>
      <c r="K33" s="338" t="s">
        <v>13</v>
      </c>
      <c r="L33" s="104"/>
      <c r="M33" s="15" t="str">
        <f>VLOOKUP(K33,'Chemical List (Grass)'!$A$99:$D$109,4,FALSE)</f>
        <v>None</v>
      </c>
      <c r="N33" s="347">
        <v>0</v>
      </c>
      <c r="O33" s="348">
        <f>VLOOKUP(K33,'Chemical List (Grass)'!$A$99:$D$109,3,FALSE)</f>
        <v>1</v>
      </c>
      <c r="P33" s="349">
        <v>0</v>
      </c>
      <c r="Q33" s="16">
        <f>VLOOKUP(K33,'Chemical List (Grass)'!$A$99:$D$109,2,FALSE)</f>
        <v>0</v>
      </c>
      <c r="R33" s="17">
        <f>P33/O33*N33</f>
        <v>0</v>
      </c>
      <c r="S33" s="22"/>
      <c r="T33" s="22"/>
      <c r="U33" s="338" t="s">
        <v>13</v>
      </c>
      <c r="V33" s="104"/>
      <c r="W33" s="15" t="str">
        <f>VLOOKUP(U33,'Chemical List (Grass)'!$A$99:$D$109,4,FALSE)</f>
        <v>None</v>
      </c>
      <c r="X33" s="347">
        <v>0</v>
      </c>
      <c r="Y33" s="348">
        <f>VLOOKUP(U33,'Chemical List (Grass)'!$A$99:$D$109,3,FALSE)</f>
        <v>1</v>
      </c>
      <c r="Z33" s="349">
        <v>0</v>
      </c>
      <c r="AA33" s="41">
        <f>VLOOKUP(U33,'Chemical List (Grass)'!$A$99:$D$109,2,FALSE)</f>
        <v>0</v>
      </c>
      <c r="AB33" s="43">
        <f>Z33/Y33*X33</f>
        <v>0</v>
      </c>
    </row>
    <row r="34" spans="1:28" ht="15.75">
      <c r="A34" s="338" t="s">
        <v>13</v>
      </c>
      <c r="B34" s="104"/>
      <c r="C34" s="15" t="str">
        <f>VLOOKUP(A34,'Chemical List (Grass)'!$A$99:$D$109,4,FALSE)</f>
        <v>None</v>
      </c>
      <c r="D34" s="347">
        <v>0</v>
      </c>
      <c r="E34" s="348">
        <f>VLOOKUP(A34,'Chemical List (Grass)'!$A$99:$D$109,3,FALSE)</f>
        <v>1</v>
      </c>
      <c r="F34" s="349">
        <v>0</v>
      </c>
      <c r="G34" s="16">
        <f>VLOOKUP(A34,'Chemical List (Grass)'!$A$99:$D$109,2,FALSE)</f>
        <v>0</v>
      </c>
      <c r="H34" s="17">
        <f t="shared" ref="H34:H37" si="9">F34/E34*D34</f>
        <v>0</v>
      </c>
      <c r="I34" s="18"/>
      <c r="J34" s="22"/>
      <c r="K34" s="338" t="s">
        <v>13</v>
      </c>
      <c r="L34" s="104"/>
      <c r="M34" s="15" t="str">
        <f>VLOOKUP(K34,'Chemical List (Grass)'!$A$99:$D$109,4,FALSE)</f>
        <v>None</v>
      </c>
      <c r="N34" s="347">
        <v>0</v>
      </c>
      <c r="O34" s="348">
        <f>VLOOKUP(K34,'Chemical List (Grass)'!$A$99:$D$109,3,FALSE)</f>
        <v>1</v>
      </c>
      <c r="P34" s="349">
        <v>0</v>
      </c>
      <c r="Q34" s="16">
        <f>VLOOKUP(K34,'Chemical List (Grass)'!$A$99:$D$109,2,FALSE)</f>
        <v>0</v>
      </c>
      <c r="R34" s="17">
        <f t="shared" ref="R34:R37" si="10">P34/O34*N34</f>
        <v>0</v>
      </c>
      <c r="S34" s="22"/>
      <c r="T34" s="22"/>
      <c r="U34" s="338" t="s">
        <v>13</v>
      </c>
      <c r="V34" s="104"/>
      <c r="W34" s="15" t="str">
        <f>VLOOKUP(U34,'Chemical List (Grass)'!$A$99:$D$109,4,FALSE)</f>
        <v>None</v>
      </c>
      <c r="X34" s="347">
        <v>0</v>
      </c>
      <c r="Y34" s="348">
        <f>VLOOKUP(U34,'Chemical List (Grass)'!$A$99:$D$109,3,FALSE)</f>
        <v>1</v>
      </c>
      <c r="Z34" s="349">
        <v>0</v>
      </c>
      <c r="AA34" s="41">
        <f>VLOOKUP(U34,'Chemical List (Grass)'!$A$99:$D$109,2,FALSE)</f>
        <v>0</v>
      </c>
      <c r="AB34" s="43">
        <f t="shared" ref="AB34:AB37" si="11">Z34/Y34*X34</f>
        <v>0</v>
      </c>
    </row>
    <row r="35" spans="1:28" ht="15.75">
      <c r="A35" s="338" t="s">
        <v>13</v>
      </c>
      <c r="B35" s="104"/>
      <c r="C35" s="15" t="str">
        <f>VLOOKUP(A35,'Chemical List (Grass)'!$A$99:$D$109,4,FALSE)</f>
        <v>None</v>
      </c>
      <c r="D35" s="347">
        <v>0</v>
      </c>
      <c r="E35" s="348">
        <f>VLOOKUP(A35,'Chemical List (Grass)'!$A$99:$D$109,3,FALSE)</f>
        <v>1</v>
      </c>
      <c r="F35" s="349">
        <v>0</v>
      </c>
      <c r="G35" s="16">
        <f>VLOOKUP(A35,'Chemical List (Grass)'!$A$99:$D$109,2,FALSE)</f>
        <v>0</v>
      </c>
      <c r="H35" s="17">
        <f t="shared" si="9"/>
        <v>0</v>
      </c>
      <c r="I35" s="18"/>
      <c r="J35" s="22"/>
      <c r="K35" s="338" t="s">
        <v>13</v>
      </c>
      <c r="L35" s="104"/>
      <c r="M35" s="15" t="str">
        <f>VLOOKUP(K35,'Chemical List (Grass)'!$A$99:$D$109,4,FALSE)</f>
        <v>None</v>
      </c>
      <c r="N35" s="347">
        <v>0</v>
      </c>
      <c r="O35" s="348">
        <f>VLOOKUP(K35,'Chemical List (Grass)'!$A$99:$D$109,3,FALSE)</f>
        <v>1</v>
      </c>
      <c r="P35" s="349">
        <v>0</v>
      </c>
      <c r="Q35" s="16">
        <f>VLOOKUP(K35,'Chemical List (Grass)'!$A$99:$D$109,2,FALSE)</f>
        <v>0</v>
      </c>
      <c r="R35" s="17">
        <f t="shared" si="10"/>
        <v>0</v>
      </c>
      <c r="S35" s="22"/>
      <c r="T35" s="22"/>
      <c r="U35" s="338" t="s">
        <v>13</v>
      </c>
      <c r="V35" s="104"/>
      <c r="W35" s="15" t="str">
        <f>VLOOKUP(U35,'Chemical List (Grass)'!$A$99:$D$109,4,FALSE)</f>
        <v>None</v>
      </c>
      <c r="X35" s="347">
        <v>0</v>
      </c>
      <c r="Y35" s="348">
        <f>VLOOKUP(U35,'Chemical List (Grass)'!$A$99:$D$109,3,FALSE)</f>
        <v>1</v>
      </c>
      <c r="Z35" s="349">
        <v>0</v>
      </c>
      <c r="AA35" s="41">
        <f>VLOOKUP(U35,'Chemical List (Grass)'!$A$99:$D$109,2,FALSE)</f>
        <v>0</v>
      </c>
      <c r="AB35" s="43">
        <f t="shared" si="11"/>
        <v>0</v>
      </c>
    </row>
    <row r="36" spans="1:28" ht="15.75">
      <c r="A36" s="338" t="s">
        <v>13</v>
      </c>
      <c r="B36" s="104"/>
      <c r="C36" s="15" t="str">
        <f>VLOOKUP(A36,'Chemical List (Grass)'!$A$99:$D$109,4,FALSE)</f>
        <v>None</v>
      </c>
      <c r="D36" s="347">
        <v>0</v>
      </c>
      <c r="E36" s="348">
        <f>VLOOKUP(A36,'Chemical List (Grass)'!$A$99:$D$109,3,FALSE)</f>
        <v>1</v>
      </c>
      <c r="F36" s="349">
        <v>0</v>
      </c>
      <c r="G36" s="16">
        <f>VLOOKUP(A36,'Chemical List (Grass)'!$A$99:$D$109,2,FALSE)</f>
        <v>0</v>
      </c>
      <c r="H36" s="17">
        <f t="shared" si="9"/>
        <v>0</v>
      </c>
      <c r="I36" s="18"/>
      <c r="J36" s="243" t="s">
        <v>363</v>
      </c>
      <c r="K36" s="338" t="s">
        <v>13</v>
      </c>
      <c r="L36" s="104"/>
      <c r="M36" s="15" t="str">
        <f>VLOOKUP(K36,'Chemical List (Grass)'!$A$99:$D$109,4,FALSE)</f>
        <v>None</v>
      </c>
      <c r="N36" s="347">
        <v>0</v>
      </c>
      <c r="O36" s="348">
        <f>VLOOKUP(K36,'Chemical List (Grass)'!$A$99:$D$109,3,FALSE)</f>
        <v>1</v>
      </c>
      <c r="P36" s="349">
        <v>0</v>
      </c>
      <c r="Q36" s="16">
        <f>VLOOKUP(K36,'Chemical List (Grass)'!$A$99:$D$109,2,FALSE)</f>
        <v>0</v>
      </c>
      <c r="R36" s="17">
        <f t="shared" si="10"/>
        <v>0</v>
      </c>
      <c r="S36" s="22"/>
      <c r="T36" s="243" t="s">
        <v>363</v>
      </c>
      <c r="U36" s="338" t="s">
        <v>13</v>
      </c>
      <c r="V36" s="104"/>
      <c r="W36" s="15" t="str">
        <f>VLOOKUP(U36,'Chemical List (Grass)'!$A$99:$D$109,4,FALSE)</f>
        <v>None</v>
      </c>
      <c r="X36" s="347">
        <v>0</v>
      </c>
      <c r="Y36" s="348">
        <f>VLOOKUP(U36,'Chemical List (Grass)'!$A$99:$D$109,3,FALSE)</f>
        <v>1</v>
      </c>
      <c r="Z36" s="349">
        <v>0</v>
      </c>
      <c r="AA36" s="41">
        <f>VLOOKUP(U36,'Chemical List (Grass)'!$A$99:$D$109,2,FALSE)</f>
        <v>0</v>
      </c>
      <c r="AB36" s="43">
        <f t="shared" si="11"/>
        <v>0</v>
      </c>
    </row>
    <row r="37" spans="1:28" ht="15.75">
      <c r="A37" s="338" t="s">
        <v>13</v>
      </c>
      <c r="B37" s="104"/>
      <c r="C37" s="15" t="str">
        <f>VLOOKUP(A37,'Chemical List (Grass)'!$A$99:$D$109,4,FALSE)</f>
        <v>None</v>
      </c>
      <c r="D37" s="347">
        <v>0</v>
      </c>
      <c r="E37" s="348">
        <f>VLOOKUP(A37,'Chemical List (Grass)'!$A$99:$D$109,3,FALSE)</f>
        <v>1</v>
      </c>
      <c r="F37" s="349">
        <v>0</v>
      </c>
      <c r="G37" s="16">
        <f>VLOOKUP(A37,'Chemical List (Grass)'!$A$99:$D$109,2,FALSE)</f>
        <v>0</v>
      </c>
      <c r="H37" s="17">
        <f t="shared" si="9"/>
        <v>0</v>
      </c>
      <c r="I37" s="18"/>
      <c r="J37" s="243" t="s">
        <v>364</v>
      </c>
      <c r="K37" s="338" t="s">
        <v>13</v>
      </c>
      <c r="L37" s="104"/>
      <c r="M37" s="15" t="str">
        <f>VLOOKUP(K37,'Chemical List (Grass)'!$A$99:$D$109,4,FALSE)</f>
        <v>None</v>
      </c>
      <c r="N37" s="347">
        <v>0</v>
      </c>
      <c r="O37" s="348">
        <f>VLOOKUP(K37,'Chemical List (Grass)'!$A$99:$D$109,3,FALSE)</f>
        <v>1</v>
      </c>
      <c r="P37" s="349">
        <v>0</v>
      </c>
      <c r="Q37" s="16">
        <f>VLOOKUP(K37,'Chemical List (Grass)'!$A$99:$D$109,2,FALSE)</f>
        <v>0</v>
      </c>
      <c r="R37" s="17">
        <f t="shared" si="10"/>
        <v>0</v>
      </c>
      <c r="S37" s="22"/>
      <c r="T37" s="243" t="s">
        <v>364</v>
      </c>
      <c r="U37" s="338" t="s">
        <v>13</v>
      </c>
      <c r="V37" s="104"/>
      <c r="W37" s="15" t="str">
        <f>VLOOKUP(U37,'Chemical List (Grass)'!$A$99:$D$109,4,FALSE)</f>
        <v>None</v>
      </c>
      <c r="X37" s="347">
        <v>0</v>
      </c>
      <c r="Y37" s="348">
        <f>VLOOKUP(U37,'Chemical List (Grass)'!$A$99:$D$109,3,FALSE)</f>
        <v>1</v>
      </c>
      <c r="Z37" s="349">
        <v>0</v>
      </c>
      <c r="AA37" s="41">
        <f>VLOOKUP(U37,'Chemical List (Grass)'!$A$99:$D$109,2,FALSE)</f>
        <v>0</v>
      </c>
      <c r="AB37" s="43">
        <f t="shared" si="11"/>
        <v>0</v>
      </c>
    </row>
    <row r="38" spans="1:28" ht="15.75">
      <c r="A38" s="45"/>
      <c r="B38" s="104"/>
      <c r="C38" s="39"/>
      <c r="D38" s="40"/>
      <c r="E38" s="41"/>
      <c r="F38" s="42"/>
      <c r="G38" s="41"/>
      <c r="H38" s="43"/>
      <c r="I38" s="44"/>
      <c r="J38" s="751" t="s">
        <v>362</v>
      </c>
      <c r="K38" s="45"/>
      <c r="L38" s="104"/>
      <c r="M38" s="39"/>
      <c r="N38" s="40"/>
      <c r="O38" s="41"/>
      <c r="P38" s="42"/>
      <c r="Q38" s="41"/>
      <c r="R38" s="43"/>
      <c r="S38" s="2"/>
      <c r="T38" s="751" t="s">
        <v>362</v>
      </c>
      <c r="U38" s="45"/>
      <c r="V38" s="104"/>
      <c r="W38" s="39"/>
      <c r="X38" s="40"/>
      <c r="Y38" s="41"/>
      <c r="Z38" s="42"/>
      <c r="AA38" s="41"/>
      <c r="AB38" s="43"/>
    </row>
    <row r="39" spans="1:28" ht="15.75">
      <c r="A39" s="45"/>
      <c r="B39" s="38"/>
      <c r="C39" s="39"/>
      <c r="D39" s="40"/>
      <c r="E39" s="41"/>
      <c r="F39" s="42"/>
      <c r="G39" s="41"/>
      <c r="H39" s="43"/>
      <c r="I39" s="44"/>
      <c r="J39" s="751"/>
      <c r="K39" s="45"/>
      <c r="L39" s="38"/>
      <c r="M39" s="39"/>
      <c r="N39" s="40"/>
      <c r="O39" s="41"/>
      <c r="P39" s="42"/>
      <c r="Q39" s="41"/>
      <c r="R39" s="43"/>
      <c r="S39" s="2"/>
      <c r="T39" s="751"/>
      <c r="U39" s="45"/>
      <c r="V39" s="38"/>
      <c r="W39" s="39"/>
      <c r="X39" s="40"/>
      <c r="Y39" s="41"/>
      <c r="Z39" s="42"/>
      <c r="AA39" s="41"/>
      <c r="AB39" s="43"/>
    </row>
    <row r="40" spans="1:28" ht="16.5" thickBot="1">
      <c r="A40" s="208" t="s">
        <v>159</v>
      </c>
      <c r="B40" s="209"/>
      <c r="C40" s="205"/>
      <c r="D40" s="205"/>
      <c r="E40" s="205"/>
      <c r="F40" s="205"/>
      <c r="G40" s="206"/>
      <c r="H40" s="207">
        <f>SUM(H25:H37)</f>
        <v>0</v>
      </c>
      <c r="I40" s="108"/>
      <c r="J40" s="2"/>
      <c r="K40" s="208" t="s">
        <v>159</v>
      </c>
      <c r="L40" s="209"/>
      <c r="M40" s="205"/>
      <c r="N40" s="205"/>
      <c r="O40" s="205"/>
      <c r="P40" s="205"/>
      <c r="Q40" s="206"/>
      <c r="R40" s="207">
        <f>SUM(R25:R37)</f>
        <v>0</v>
      </c>
      <c r="S40" s="2"/>
      <c r="T40" s="2"/>
      <c r="U40" s="208" t="s">
        <v>159</v>
      </c>
      <c r="V40" s="209"/>
      <c r="W40" s="205"/>
      <c r="X40" s="205"/>
      <c r="Y40" s="205"/>
      <c r="Z40" s="205"/>
      <c r="AA40" s="206"/>
      <c r="AB40" s="207">
        <f>SUM(AB25:AB37)</f>
        <v>0</v>
      </c>
    </row>
    <row r="41" spans="1:28" ht="16.5" thickTop="1">
      <c r="A41" s="83"/>
      <c r="B41" s="109"/>
      <c r="C41" s="110"/>
      <c r="D41" s="110"/>
      <c r="E41" s="110"/>
      <c r="F41" s="110"/>
      <c r="G41" s="111"/>
      <c r="H41" s="112"/>
      <c r="I41" s="108"/>
      <c r="J41" s="2"/>
      <c r="K41" s="83"/>
      <c r="L41" s="109"/>
      <c r="M41" s="110"/>
      <c r="N41" s="110"/>
      <c r="O41" s="110"/>
      <c r="P41" s="110"/>
      <c r="Q41" s="111"/>
      <c r="R41" s="112"/>
      <c r="S41" s="2"/>
      <c r="T41" s="2"/>
      <c r="U41" s="83"/>
      <c r="V41" s="109"/>
      <c r="W41" s="110"/>
      <c r="X41" s="110"/>
      <c r="Y41" s="110"/>
      <c r="Z41" s="110"/>
      <c r="AA41" s="111"/>
      <c r="AB41" s="112"/>
    </row>
    <row r="42" spans="1:28" ht="16.5" thickBot="1">
      <c r="A42" s="37"/>
      <c r="B42" s="38"/>
      <c r="C42" s="39"/>
      <c r="D42" s="40"/>
      <c r="E42" s="41"/>
      <c r="F42" s="42"/>
      <c r="G42" s="41"/>
      <c r="H42" s="43"/>
      <c r="I42" s="44"/>
      <c r="J42" s="2"/>
      <c r="K42" s="37"/>
      <c r="L42" s="38"/>
      <c r="M42" s="39"/>
      <c r="N42" s="40"/>
      <c r="O42" s="41"/>
      <c r="P42" s="42"/>
      <c r="Q42" s="41"/>
      <c r="R42" s="43"/>
      <c r="S42" s="2"/>
      <c r="T42" s="2"/>
      <c r="U42" s="37"/>
      <c r="V42" s="38"/>
      <c r="W42" s="39"/>
      <c r="X42" s="40"/>
      <c r="Y42" s="41"/>
      <c r="Z42" s="42"/>
      <c r="AA42" s="41"/>
      <c r="AB42" s="43"/>
    </row>
    <row r="43" spans="1:28" ht="16.5" thickBot="1">
      <c r="A43" s="747" t="s">
        <v>294</v>
      </c>
      <c r="B43" s="748"/>
      <c r="C43" s="748"/>
      <c r="D43" s="748"/>
      <c r="E43" s="748"/>
      <c r="F43" s="748"/>
      <c r="G43" s="748"/>
      <c r="H43" s="749"/>
      <c r="I43" s="60"/>
      <c r="J43" s="2"/>
      <c r="K43" s="747" t="s">
        <v>294</v>
      </c>
      <c r="L43" s="748"/>
      <c r="M43" s="748"/>
      <c r="N43" s="748"/>
      <c r="O43" s="748"/>
      <c r="P43" s="748"/>
      <c r="Q43" s="748"/>
      <c r="R43" s="749"/>
      <c r="S43" s="2"/>
      <c r="T43" s="2"/>
      <c r="U43" s="747" t="s">
        <v>294</v>
      </c>
      <c r="V43" s="748"/>
      <c r="W43" s="748"/>
      <c r="X43" s="748"/>
      <c r="Y43" s="748"/>
      <c r="Z43" s="748"/>
      <c r="AA43" s="748"/>
      <c r="AB43" s="749"/>
    </row>
    <row r="44" spans="1:28" ht="31.5">
      <c r="A44" s="88" t="s">
        <v>121</v>
      </c>
      <c r="B44" s="89" t="s">
        <v>213</v>
      </c>
      <c r="C44" s="90" t="s">
        <v>122</v>
      </c>
      <c r="D44" s="89" t="s">
        <v>123</v>
      </c>
      <c r="E44" s="90" t="s">
        <v>12</v>
      </c>
      <c r="F44" s="90" t="s">
        <v>124</v>
      </c>
      <c r="G44" s="89" t="s">
        <v>293</v>
      </c>
      <c r="H44" s="91" t="s">
        <v>125</v>
      </c>
      <c r="I44" s="92"/>
      <c r="J44" s="2"/>
      <c r="K44" s="88" t="s">
        <v>121</v>
      </c>
      <c r="L44" s="89" t="s">
        <v>213</v>
      </c>
      <c r="M44" s="90" t="s">
        <v>122</v>
      </c>
      <c r="N44" s="89" t="s">
        <v>123</v>
      </c>
      <c r="O44" s="90" t="s">
        <v>12</v>
      </c>
      <c r="P44" s="90" t="s">
        <v>124</v>
      </c>
      <c r="Q44" s="89" t="s">
        <v>293</v>
      </c>
      <c r="R44" s="91" t="s">
        <v>125</v>
      </c>
      <c r="S44" s="2"/>
      <c r="T44" s="2"/>
      <c r="U44" s="88" t="s">
        <v>121</v>
      </c>
      <c r="V44" s="89" t="s">
        <v>213</v>
      </c>
      <c r="W44" s="90" t="s">
        <v>122</v>
      </c>
      <c r="X44" s="89" t="s">
        <v>123</v>
      </c>
      <c r="Y44" s="90" t="s">
        <v>12</v>
      </c>
      <c r="Z44" s="90" t="s">
        <v>124</v>
      </c>
      <c r="AA44" s="89" t="s">
        <v>293</v>
      </c>
      <c r="AB44" s="91" t="s">
        <v>125</v>
      </c>
    </row>
    <row r="45" spans="1:28" ht="15.75">
      <c r="A45" s="93" t="s">
        <v>346</v>
      </c>
      <c r="B45" s="94"/>
      <c r="C45" s="54"/>
      <c r="D45" s="78" t="s">
        <v>143</v>
      </c>
      <c r="E45" s="117"/>
      <c r="F45" s="78" t="s">
        <v>143</v>
      </c>
      <c r="G45" s="36"/>
      <c r="H45" s="97"/>
      <c r="I45" s="92"/>
      <c r="J45" s="2"/>
      <c r="K45" s="93" t="s">
        <v>346</v>
      </c>
      <c r="L45" s="94"/>
      <c r="M45" s="54"/>
      <c r="N45" s="78" t="s">
        <v>143</v>
      </c>
      <c r="O45" s="117"/>
      <c r="P45" s="78" t="s">
        <v>143</v>
      </c>
      <c r="Q45" s="36"/>
      <c r="R45" s="97"/>
      <c r="S45" s="2"/>
      <c r="T45" s="2"/>
      <c r="U45" s="93" t="s">
        <v>346</v>
      </c>
      <c r="V45" s="94"/>
      <c r="W45" s="54"/>
      <c r="X45" s="78" t="s">
        <v>143</v>
      </c>
      <c r="Y45" s="117"/>
      <c r="Z45" s="78" t="s">
        <v>143</v>
      </c>
      <c r="AA45" s="36"/>
      <c r="AB45" s="97"/>
    </row>
    <row r="46" spans="1:28" ht="15.75">
      <c r="A46" s="338" t="s">
        <v>13</v>
      </c>
      <c r="B46" s="94"/>
      <c r="C46" s="15" t="str">
        <f>VLOOKUP(A46,'Chemical List (Alfalfa)'!$A$36:$D$44,4,FALSE)</f>
        <v>None</v>
      </c>
      <c r="D46" s="347">
        <v>0</v>
      </c>
      <c r="E46" s="348">
        <f>VLOOKUP(A46,'Chemical List (Alfalfa)'!$A$36:$D$44,3,FALSE)</f>
        <v>1</v>
      </c>
      <c r="F46" s="349">
        <v>0</v>
      </c>
      <c r="G46" s="41">
        <f>VLOOKUP(A46,'Chemical List (Alfalfa)'!$A$36:$D$44,2,FALSE)</f>
        <v>0</v>
      </c>
      <c r="H46" s="43">
        <f>F46/E46*D46</f>
        <v>0</v>
      </c>
      <c r="I46" s="18"/>
      <c r="J46" s="22"/>
      <c r="K46" s="338" t="s">
        <v>13</v>
      </c>
      <c r="L46" s="94"/>
      <c r="M46" s="15" t="str">
        <f>VLOOKUP(K46,'Chemical List (Alfalfa)'!$A$36:$D$44,4,FALSE)</f>
        <v>None</v>
      </c>
      <c r="N46" s="347">
        <v>0</v>
      </c>
      <c r="O46" s="348">
        <f>VLOOKUP(K46,'Chemical List (Alfalfa)'!$A$36:$D$44,3,FALSE)</f>
        <v>1</v>
      </c>
      <c r="P46" s="349">
        <v>0</v>
      </c>
      <c r="Q46" s="41">
        <f>VLOOKUP(K46,'Chemical List (Alfalfa)'!$A$36:$D$44,2,FALSE)</f>
        <v>0</v>
      </c>
      <c r="R46" s="43">
        <f>P46/O46*N46</f>
        <v>0</v>
      </c>
      <c r="S46" s="22"/>
      <c r="T46" s="22"/>
      <c r="U46" s="338" t="s">
        <v>13</v>
      </c>
      <c r="V46" s="94"/>
      <c r="W46" s="15" t="str">
        <f>VLOOKUP(U46,'Chemical List (Grass)'!$A$114:$D$133,4,FALSE)</f>
        <v>None</v>
      </c>
      <c r="X46" s="347">
        <v>0</v>
      </c>
      <c r="Y46" s="348">
        <f>VLOOKUP(U46,'Chemical List (Grass)'!$A$114:$D$133,3,FALSE)</f>
        <v>1</v>
      </c>
      <c r="Z46" s="349">
        <v>0</v>
      </c>
      <c r="AA46" s="41">
        <f>VLOOKUP(U46,'Chemical List (Grass)'!$A$114:$D$133,2,FALSE)</f>
        <v>0</v>
      </c>
      <c r="AB46" s="43">
        <f>Z46/Y46*X46</f>
        <v>0</v>
      </c>
    </row>
    <row r="47" spans="1:28" ht="15.75">
      <c r="A47" s="338" t="s">
        <v>13</v>
      </c>
      <c r="B47" s="94"/>
      <c r="C47" s="15" t="str">
        <f>VLOOKUP(A47,'Chemical List (Alfalfa)'!$A$36:$D$44,4,FALSE)</f>
        <v>None</v>
      </c>
      <c r="D47" s="347">
        <v>0</v>
      </c>
      <c r="E47" s="348">
        <f>VLOOKUP(A47,'Chemical List (Alfalfa)'!$A$36:$D$44,3,FALSE)</f>
        <v>1</v>
      </c>
      <c r="F47" s="349">
        <v>0</v>
      </c>
      <c r="G47" s="41">
        <f>VLOOKUP(A47,'Chemical List (Alfalfa)'!$A$36:$D$44,2,FALSE)</f>
        <v>0</v>
      </c>
      <c r="H47" s="43">
        <f t="shared" ref="H47:H50" si="12">F47/E47*D47</f>
        <v>0</v>
      </c>
      <c r="I47" s="18"/>
      <c r="J47" s="22"/>
      <c r="K47" s="338" t="s">
        <v>13</v>
      </c>
      <c r="L47" s="94"/>
      <c r="M47" s="15" t="str">
        <f>VLOOKUP(K47,'Chemical List (Alfalfa)'!$A$36:$D$44,4,FALSE)</f>
        <v>None</v>
      </c>
      <c r="N47" s="347">
        <v>0</v>
      </c>
      <c r="O47" s="348">
        <f>VLOOKUP(K47,'Chemical List (Alfalfa)'!$A$36:$D$44,3,FALSE)</f>
        <v>1</v>
      </c>
      <c r="P47" s="349">
        <v>0</v>
      </c>
      <c r="Q47" s="41">
        <f>VLOOKUP(K47,'Chemical List (Alfalfa)'!$A$36:$D$44,2,FALSE)</f>
        <v>0</v>
      </c>
      <c r="R47" s="43">
        <f t="shared" ref="R47:R50" si="13">P47/O47*N47</f>
        <v>0</v>
      </c>
      <c r="S47" s="22"/>
      <c r="T47" s="22"/>
      <c r="U47" s="338" t="s">
        <v>13</v>
      </c>
      <c r="V47" s="94"/>
      <c r="W47" s="15" t="str">
        <f>VLOOKUP(U47,'Chemical List (Grass)'!$A$114:$D$133,4,FALSE)</f>
        <v>None</v>
      </c>
      <c r="X47" s="347">
        <v>0</v>
      </c>
      <c r="Y47" s="348">
        <f>VLOOKUP(U47,'Chemical List (Grass)'!$A$114:$D$133,3,FALSE)</f>
        <v>1</v>
      </c>
      <c r="Z47" s="349">
        <v>0</v>
      </c>
      <c r="AA47" s="41">
        <f>VLOOKUP(U47,'Chemical List (Grass)'!$A$114:$D$133,2,FALSE)</f>
        <v>0</v>
      </c>
      <c r="AB47" s="43">
        <f t="shared" ref="AB47:AB50" si="14">Z47/Y47*X47</f>
        <v>0</v>
      </c>
    </row>
    <row r="48" spans="1:28" ht="15.75">
      <c r="A48" s="338" t="s">
        <v>13</v>
      </c>
      <c r="B48" s="94"/>
      <c r="C48" s="15" t="str">
        <f>VLOOKUP(A48,'Chemical List (Alfalfa)'!$A$36:$D$44,4,FALSE)</f>
        <v>None</v>
      </c>
      <c r="D48" s="347">
        <v>0</v>
      </c>
      <c r="E48" s="348">
        <f>VLOOKUP(A48,'Chemical List (Alfalfa)'!$A$36:$D$44,3,FALSE)</f>
        <v>1</v>
      </c>
      <c r="F48" s="349">
        <v>0</v>
      </c>
      <c r="G48" s="41">
        <f>VLOOKUP(A48,'Chemical List (Alfalfa)'!$A$36:$D$44,2,FALSE)</f>
        <v>0</v>
      </c>
      <c r="H48" s="43">
        <f t="shared" si="12"/>
        <v>0</v>
      </c>
      <c r="I48" s="18"/>
      <c r="J48" s="22"/>
      <c r="K48" s="338" t="s">
        <v>13</v>
      </c>
      <c r="L48" s="94"/>
      <c r="M48" s="15" t="str">
        <f>VLOOKUP(K48,'Chemical List (Alfalfa)'!$A$36:$D$44,4,FALSE)</f>
        <v>None</v>
      </c>
      <c r="N48" s="347">
        <v>0</v>
      </c>
      <c r="O48" s="348">
        <f>VLOOKUP(K48,'Chemical List (Alfalfa)'!$A$36:$D$44,3,FALSE)</f>
        <v>1</v>
      </c>
      <c r="P48" s="349">
        <v>0</v>
      </c>
      <c r="Q48" s="41">
        <f>VLOOKUP(K48,'Chemical List (Alfalfa)'!$A$36:$D$44,2,FALSE)</f>
        <v>0</v>
      </c>
      <c r="R48" s="43">
        <f t="shared" si="13"/>
        <v>0</v>
      </c>
      <c r="S48" s="22"/>
      <c r="T48" s="22"/>
      <c r="U48" s="338" t="s">
        <v>13</v>
      </c>
      <c r="V48" s="94"/>
      <c r="W48" s="15" t="str">
        <f>VLOOKUP(U48,'Chemical List (Grass)'!$A$114:$D$133,4,FALSE)</f>
        <v>None</v>
      </c>
      <c r="X48" s="347">
        <v>0</v>
      </c>
      <c r="Y48" s="348">
        <f>VLOOKUP(U48,'Chemical List (Grass)'!$A$114:$D$133,3,FALSE)</f>
        <v>1</v>
      </c>
      <c r="Z48" s="349">
        <v>0</v>
      </c>
      <c r="AA48" s="41">
        <f>VLOOKUP(U48,'Chemical List (Grass)'!$A$114:$D$133,2,FALSE)</f>
        <v>0</v>
      </c>
      <c r="AB48" s="43">
        <f t="shared" si="14"/>
        <v>0</v>
      </c>
    </row>
    <row r="49" spans="1:28" ht="15.75">
      <c r="A49" s="338" t="s">
        <v>13</v>
      </c>
      <c r="B49" s="94"/>
      <c r="C49" s="15" t="str">
        <f>VLOOKUP(A49,'Chemical List (Alfalfa)'!$A$36:$D$44,4,FALSE)</f>
        <v>None</v>
      </c>
      <c r="D49" s="347">
        <v>0</v>
      </c>
      <c r="E49" s="348">
        <f>VLOOKUP(A49,'Chemical List (Alfalfa)'!$A$36:$D$44,3,FALSE)</f>
        <v>1</v>
      </c>
      <c r="F49" s="349">
        <v>0</v>
      </c>
      <c r="G49" s="41">
        <f>VLOOKUP(A49,'Chemical List (Alfalfa)'!$A$36:$D$44,2,FALSE)</f>
        <v>0</v>
      </c>
      <c r="H49" s="43">
        <f t="shared" si="12"/>
        <v>0</v>
      </c>
      <c r="I49" s="18"/>
      <c r="J49" s="22"/>
      <c r="K49" s="338" t="s">
        <v>13</v>
      </c>
      <c r="L49" s="94"/>
      <c r="M49" s="15" t="str">
        <f>VLOOKUP(K49,'Chemical List (Alfalfa)'!$A$36:$D$44,4,FALSE)</f>
        <v>None</v>
      </c>
      <c r="N49" s="347">
        <v>0</v>
      </c>
      <c r="O49" s="348">
        <f>VLOOKUP(K49,'Chemical List (Alfalfa)'!$A$36:$D$44,3,FALSE)</f>
        <v>1</v>
      </c>
      <c r="P49" s="349">
        <v>0</v>
      </c>
      <c r="Q49" s="41">
        <f>VLOOKUP(K49,'Chemical List (Alfalfa)'!$A$36:$D$44,2,FALSE)</f>
        <v>0</v>
      </c>
      <c r="R49" s="43">
        <f t="shared" si="13"/>
        <v>0</v>
      </c>
      <c r="S49" s="22"/>
      <c r="T49" s="22"/>
      <c r="U49" s="338" t="s">
        <v>13</v>
      </c>
      <c r="V49" s="94"/>
      <c r="W49" s="15" t="str">
        <f>VLOOKUP(U49,'Chemical List (Grass)'!$A$114:$D$133,4,FALSE)</f>
        <v>None</v>
      </c>
      <c r="X49" s="347">
        <v>0</v>
      </c>
      <c r="Y49" s="348">
        <f>VLOOKUP(U49,'Chemical List (Grass)'!$A$114:$D$133,3,FALSE)</f>
        <v>1</v>
      </c>
      <c r="Z49" s="349">
        <v>0</v>
      </c>
      <c r="AA49" s="41">
        <f>VLOOKUP(U49,'Chemical List (Grass)'!$A$114:$D$133,2,FALSE)</f>
        <v>0</v>
      </c>
      <c r="AB49" s="43">
        <f t="shared" si="14"/>
        <v>0</v>
      </c>
    </row>
    <row r="50" spans="1:28" ht="15.75">
      <c r="A50" s="338" t="s">
        <v>13</v>
      </c>
      <c r="B50" s="94"/>
      <c r="C50" s="15" t="str">
        <f>VLOOKUP(A50,'Chemical List (Alfalfa)'!$A$36:$D$44,4,FALSE)</f>
        <v>None</v>
      </c>
      <c r="D50" s="347">
        <v>0</v>
      </c>
      <c r="E50" s="348">
        <f>VLOOKUP(A50,'Chemical List (Alfalfa)'!$A$36:$D$44,3,FALSE)</f>
        <v>1</v>
      </c>
      <c r="F50" s="349">
        <v>0</v>
      </c>
      <c r="G50" s="41">
        <f>VLOOKUP(A50,'Chemical List (Alfalfa)'!$A$36:$D$44,2,FALSE)</f>
        <v>0</v>
      </c>
      <c r="H50" s="43">
        <f t="shared" si="12"/>
        <v>0</v>
      </c>
      <c r="I50" s="18"/>
      <c r="J50" s="22"/>
      <c r="K50" s="338" t="s">
        <v>13</v>
      </c>
      <c r="L50" s="94"/>
      <c r="M50" s="15" t="str">
        <f>VLOOKUP(K50,'Chemical List (Alfalfa)'!$A$36:$D$44,4,FALSE)</f>
        <v>None</v>
      </c>
      <c r="N50" s="347">
        <v>0</v>
      </c>
      <c r="O50" s="348">
        <f>VLOOKUP(K50,'Chemical List (Alfalfa)'!$A$36:$D$44,3,FALSE)</f>
        <v>1</v>
      </c>
      <c r="P50" s="349">
        <v>0</v>
      </c>
      <c r="Q50" s="41">
        <f>VLOOKUP(K50,'Chemical List (Alfalfa)'!$A$36:$D$44,2,FALSE)</f>
        <v>0</v>
      </c>
      <c r="R50" s="43">
        <f t="shared" si="13"/>
        <v>0</v>
      </c>
      <c r="S50" s="22"/>
      <c r="T50" s="22"/>
      <c r="U50" s="338" t="s">
        <v>13</v>
      </c>
      <c r="V50" s="94"/>
      <c r="W50" s="15" t="str">
        <f>VLOOKUP(U50,'Chemical List (Grass)'!$A$114:$D$133,4,FALSE)</f>
        <v>None</v>
      </c>
      <c r="X50" s="347">
        <v>0</v>
      </c>
      <c r="Y50" s="348">
        <f>VLOOKUP(U50,'Chemical List (Grass)'!$A$114:$D$133,3,FALSE)</f>
        <v>1</v>
      </c>
      <c r="Z50" s="349">
        <v>0</v>
      </c>
      <c r="AA50" s="41">
        <f>VLOOKUP(U50,'Chemical List (Grass)'!$A$114:$D$133,2,FALSE)</f>
        <v>0</v>
      </c>
      <c r="AB50" s="43">
        <f t="shared" si="14"/>
        <v>0</v>
      </c>
    </row>
    <row r="51" spans="1:28" ht="15.75">
      <c r="A51" s="45"/>
      <c r="B51" s="94"/>
      <c r="C51" s="39"/>
      <c r="D51" s="50"/>
      <c r="E51" s="41"/>
      <c r="F51" s="51"/>
      <c r="G51" s="41"/>
      <c r="H51" s="43"/>
      <c r="I51" s="44"/>
      <c r="J51" s="2"/>
      <c r="K51" s="45"/>
      <c r="L51" s="94"/>
      <c r="M51" s="39"/>
      <c r="N51" s="50"/>
      <c r="O51" s="41"/>
      <c r="P51" s="51"/>
      <c r="Q51" s="41"/>
      <c r="R51" s="43"/>
      <c r="S51" s="2"/>
      <c r="T51" s="2"/>
      <c r="U51" s="45"/>
      <c r="V51" s="94"/>
      <c r="W51" s="39"/>
      <c r="X51" s="50"/>
      <c r="Y51" s="41"/>
      <c r="Z51" s="51"/>
      <c r="AA51" s="41"/>
      <c r="AB51" s="43"/>
    </row>
    <row r="52" spans="1:28" ht="15.75">
      <c r="A52" s="45"/>
      <c r="B52" s="94"/>
      <c r="C52" s="39"/>
      <c r="D52" s="50"/>
      <c r="E52" s="41"/>
      <c r="F52" s="51"/>
      <c r="G52" s="41"/>
      <c r="H52" s="43"/>
      <c r="I52" s="44"/>
      <c r="J52" s="2"/>
      <c r="K52" s="45"/>
      <c r="L52" s="94"/>
      <c r="M52" s="39"/>
      <c r="N52" s="50"/>
      <c r="O52" s="41"/>
      <c r="P52" s="51"/>
      <c r="Q52" s="41"/>
      <c r="R52" s="43"/>
      <c r="S52" s="2"/>
      <c r="T52" s="2"/>
      <c r="U52" s="45"/>
      <c r="V52" s="38"/>
      <c r="W52" s="39"/>
      <c r="X52" s="50"/>
      <c r="Y52" s="41"/>
      <c r="Z52" s="51"/>
      <c r="AA52" s="41"/>
      <c r="AB52" s="43"/>
    </row>
    <row r="53" spans="1:28" ht="16.5" thickBot="1">
      <c r="A53" s="208" t="s">
        <v>279</v>
      </c>
      <c r="B53" s="209"/>
      <c r="C53" s="205"/>
      <c r="D53" s="210"/>
      <c r="E53" s="205"/>
      <c r="F53" s="210"/>
      <c r="G53" s="206"/>
      <c r="H53" s="207">
        <f>SUM(H46:H50)</f>
        <v>0</v>
      </c>
      <c r="I53" s="108"/>
      <c r="J53" s="2"/>
      <c r="K53" s="208" t="s">
        <v>279</v>
      </c>
      <c r="L53" s="209"/>
      <c r="M53" s="205"/>
      <c r="N53" s="210"/>
      <c r="O53" s="205"/>
      <c r="P53" s="210"/>
      <c r="Q53" s="206"/>
      <c r="R53" s="207">
        <f>SUM(R46:R50)</f>
        <v>0</v>
      </c>
      <c r="S53" s="2"/>
      <c r="T53" s="2"/>
      <c r="U53" s="208" t="s">
        <v>279</v>
      </c>
      <c r="V53" s="209"/>
      <c r="W53" s="205"/>
      <c r="X53" s="210"/>
      <c r="Y53" s="205"/>
      <c r="Z53" s="210"/>
      <c r="AA53" s="206"/>
      <c r="AB53" s="207">
        <f>SUM(AB46:AB50)</f>
        <v>0</v>
      </c>
    </row>
    <row r="54" spans="1:28" ht="16.5" thickTop="1">
      <c r="A54" s="45"/>
      <c r="B54" s="94"/>
      <c r="C54" s="39"/>
      <c r="D54" s="50"/>
      <c r="E54" s="41"/>
      <c r="F54" s="51"/>
      <c r="G54" s="41"/>
      <c r="H54" s="43"/>
      <c r="I54" s="44"/>
      <c r="J54" s="2"/>
      <c r="K54" s="45"/>
      <c r="L54" s="94"/>
      <c r="M54" s="39"/>
      <c r="N54" s="50"/>
      <c r="O54" s="41"/>
      <c r="P54" s="51"/>
      <c r="Q54" s="41"/>
      <c r="R54" s="43"/>
      <c r="S54" s="2"/>
      <c r="T54" s="2"/>
      <c r="U54" s="45"/>
      <c r="V54" s="94"/>
      <c r="W54" s="39"/>
      <c r="X54" s="50"/>
      <c r="Y54" s="41"/>
      <c r="Z54" s="51"/>
      <c r="AA54" s="41"/>
      <c r="AB54" s="43"/>
    </row>
    <row r="55" spans="1:28" ht="15.75">
      <c r="A55" s="45"/>
      <c r="B55" s="94"/>
      <c r="C55" s="39"/>
      <c r="D55" s="50"/>
      <c r="E55" s="41"/>
      <c r="F55" s="51"/>
      <c r="G55" s="41"/>
      <c r="H55" s="43"/>
      <c r="I55" s="44"/>
      <c r="J55" s="2"/>
      <c r="K55" s="45"/>
      <c r="L55" s="94"/>
      <c r="M55" s="39"/>
      <c r="N55" s="50"/>
      <c r="O55" s="41"/>
      <c r="P55" s="51"/>
      <c r="Q55" s="41"/>
      <c r="R55" s="43"/>
      <c r="S55" s="2"/>
      <c r="T55" s="2"/>
      <c r="U55" s="45"/>
      <c r="V55" s="94"/>
      <c r="W55" s="39"/>
      <c r="X55" s="50"/>
      <c r="Y55" s="41"/>
      <c r="Z55" s="51"/>
      <c r="AA55" s="41"/>
      <c r="AB55" s="43"/>
    </row>
    <row r="56" spans="1:28" ht="15.75">
      <c r="A56" s="93" t="s">
        <v>347</v>
      </c>
      <c r="B56" s="94"/>
      <c r="C56" s="54"/>
      <c r="D56" s="78" t="s">
        <v>143</v>
      </c>
      <c r="E56" s="117"/>
      <c r="F56" s="78" t="s">
        <v>143</v>
      </c>
      <c r="G56" s="36"/>
      <c r="H56" s="97"/>
      <c r="I56" s="92"/>
      <c r="J56" s="2"/>
      <c r="K56" s="93" t="s">
        <v>347</v>
      </c>
      <c r="L56" s="94"/>
      <c r="M56" s="54"/>
      <c r="N56" s="78" t="s">
        <v>143</v>
      </c>
      <c r="O56" s="117"/>
      <c r="P56" s="78" t="s">
        <v>143</v>
      </c>
      <c r="Q56" s="36"/>
      <c r="R56" s="97"/>
      <c r="S56" s="2"/>
      <c r="T56" s="2"/>
      <c r="U56" s="93" t="s">
        <v>347</v>
      </c>
      <c r="V56" s="94"/>
      <c r="W56" s="54"/>
      <c r="X56" s="78" t="s">
        <v>143</v>
      </c>
      <c r="Y56" s="117"/>
      <c r="Z56" s="78" t="s">
        <v>143</v>
      </c>
      <c r="AA56" s="36"/>
      <c r="AB56" s="97"/>
    </row>
    <row r="57" spans="1:28" ht="15.75">
      <c r="A57" s="338" t="s">
        <v>13</v>
      </c>
      <c r="B57" s="94"/>
      <c r="C57" s="15" t="str">
        <f>VLOOKUP(A57,'Chemical List (Alfalfa)'!$A$56:$D$75,4,FALSE)</f>
        <v>None</v>
      </c>
      <c r="D57" s="347">
        <v>0</v>
      </c>
      <c r="E57" s="348">
        <f>VLOOKUP(A57,'Chemical List (Alfalfa)'!$A$56:$D$75,3,FALSE)</f>
        <v>1</v>
      </c>
      <c r="F57" s="349">
        <v>0</v>
      </c>
      <c r="G57" s="41">
        <f>VLOOKUP(A57,'Chemical List (Alfalfa)'!$A$56:$D$75,2,FALSE)</f>
        <v>0</v>
      </c>
      <c r="H57" s="43">
        <f>F57/E57*D57</f>
        <v>0</v>
      </c>
      <c r="I57" s="18"/>
      <c r="J57" s="22"/>
      <c r="K57" s="338" t="s">
        <v>13</v>
      </c>
      <c r="L57" s="94"/>
      <c r="M57" s="15" t="str">
        <f>VLOOKUP(K57,'Chemical List (Alfalfa)'!$A$56:$D$75,4,FALSE)</f>
        <v>None</v>
      </c>
      <c r="N57" s="347">
        <v>0</v>
      </c>
      <c r="O57" s="348">
        <f>VLOOKUP(K57,'Chemical List (Alfalfa)'!$A$56:$D$75,3,FALSE)</f>
        <v>1</v>
      </c>
      <c r="P57" s="349">
        <v>0</v>
      </c>
      <c r="Q57" s="41">
        <f>VLOOKUP(K57,'Chemical List (Alfalfa)'!$A$56:$D$75,2,FALSE)</f>
        <v>0</v>
      </c>
      <c r="R57" s="43">
        <f>P57/O57*N57</f>
        <v>0</v>
      </c>
      <c r="S57" s="22"/>
      <c r="T57" s="22"/>
      <c r="U57" s="338" t="s">
        <v>13</v>
      </c>
      <c r="V57" s="94"/>
      <c r="W57" s="15" t="str">
        <f>VLOOKUP(U57,'Chemical List (Grass)'!$A$145:$D$191,4,FALSE)</f>
        <v>None</v>
      </c>
      <c r="X57" s="347">
        <v>0</v>
      </c>
      <c r="Y57" s="348">
        <f>VLOOKUP(U57,'Chemical List (Grass)'!$A$145:$D$191,3,FALSE)</f>
        <v>1</v>
      </c>
      <c r="Z57" s="349">
        <v>0</v>
      </c>
      <c r="AA57" s="41">
        <f>VLOOKUP(U57,'Chemical List (Grass)'!$A$145:$D$191,2,FALSE)</f>
        <v>0</v>
      </c>
      <c r="AB57" s="43">
        <f>Z57/Y57*X57</f>
        <v>0</v>
      </c>
    </row>
    <row r="58" spans="1:28" ht="15.75">
      <c r="A58" s="338" t="s">
        <v>13</v>
      </c>
      <c r="B58" s="94"/>
      <c r="C58" s="15" t="str">
        <f>VLOOKUP(A58,'Chemical List (Alfalfa)'!$A$56:$D$75,4,FALSE)</f>
        <v>None</v>
      </c>
      <c r="D58" s="347">
        <v>0</v>
      </c>
      <c r="E58" s="348">
        <f>VLOOKUP(A58,'Chemical List (Alfalfa)'!$A$56:$D$75,3,FALSE)</f>
        <v>1</v>
      </c>
      <c r="F58" s="349">
        <v>0</v>
      </c>
      <c r="G58" s="41">
        <f>VLOOKUP(A58,'Chemical List (Alfalfa)'!$A$56:$D$75,2,FALSE)</f>
        <v>0</v>
      </c>
      <c r="H58" s="43">
        <f t="shared" ref="H58:H61" si="15">F58/E58*D58</f>
        <v>0</v>
      </c>
      <c r="I58" s="18"/>
      <c r="J58" s="22"/>
      <c r="K58" s="338" t="s">
        <v>13</v>
      </c>
      <c r="L58" s="94"/>
      <c r="M58" s="15" t="str">
        <f>VLOOKUP(K58,'Chemical List (Alfalfa)'!$A$56:$D$75,4,FALSE)</f>
        <v>None</v>
      </c>
      <c r="N58" s="347">
        <v>0</v>
      </c>
      <c r="O58" s="348">
        <f>VLOOKUP(K58,'Chemical List (Alfalfa)'!$A$56:$D$75,3,FALSE)</f>
        <v>1</v>
      </c>
      <c r="P58" s="349">
        <v>0</v>
      </c>
      <c r="Q58" s="41">
        <f>VLOOKUP(K58,'Chemical List (Alfalfa)'!$A$56:$D$75,2,FALSE)</f>
        <v>0</v>
      </c>
      <c r="R58" s="43">
        <f t="shared" ref="R58:R61" si="16">P58/O58*N58</f>
        <v>0</v>
      </c>
      <c r="S58" s="22"/>
      <c r="T58" s="22"/>
      <c r="U58" s="338" t="s">
        <v>13</v>
      </c>
      <c r="V58" s="94"/>
      <c r="W58" s="15" t="str">
        <f>VLOOKUP(U58,'Chemical List (Grass)'!$A$145:$D$191,4,FALSE)</f>
        <v>None</v>
      </c>
      <c r="X58" s="347">
        <v>0</v>
      </c>
      <c r="Y58" s="348">
        <f>VLOOKUP(U58,'Chemical List (Grass)'!$A$145:$D$191,3,FALSE)</f>
        <v>1</v>
      </c>
      <c r="Z58" s="349">
        <v>0</v>
      </c>
      <c r="AA58" s="41">
        <f>VLOOKUP(U58,'Chemical List (Grass)'!$A$145:$D$191,2,FALSE)</f>
        <v>0</v>
      </c>
      <c r="AB58" s="43">
        <f t="shared" ref="AB58:AB61" si="17">Z58/Y58*X58</f>
        <v>0</v>
      </c>
    </row>
    <row r="59" spans="1:28" ht="15.75">
      <c r="A59" s="338" t="s">
        <v>13</v>
      </c>
      <c r="B59" s="94"/>
      <c r="C59" s="15" t="str">
        <f>VLOOKUP(A59,'Chemical List (Alfalfa)'!$A$56:$D$75,4,FALSE)</f>
        <v>None</v>
      </c>
      <c r="D59" s="347">
        <v>0</v>
      </c>
      <c r="E59" s="348">
        <f>VLOOKUP(A59,'Chemical List (Alfalfa)'!$A$56:$D$75,3,FALSE)</f>
        <v>1</v>
      </c>
      <c r="F59" s="349">
        <v>0</v>
      </c>
      <c r="G59" s="41">
        <f>VLOOKUP(A59,'Chemical List (Alfalfa)'!$A$56:$D$75,2,FALSE)</f>
        <v>0</v>
      </c>
      <c r="H59" s="43">
        <f t="shared" si="15"/>
        <v>0</v>
      </c>
      <c r="I59" s="18"/>
      <c r="J59" s="22"/>
      <c r="K59" s="338" t="s">
        <v>13</v>
      </c>
      <c r="L59" s="94"/>
      <c r="M59" s="15" t="str">
        <f>VLOOKUP(K59,'Chemical List (Alfalfa)'!$A$56:$D$75,4,FALSE)</f>
        <v>None</v>
      </c>
      <c r="N59" s="347">
        <v>0</v>
      </c>
      <c r="O59" s="348">
        <f>VLOOKUP(K59,'Chemical List (Alfalfa)'!$A$56:$D$75,3,FALSE)</f>
        <v>1</v>
      </c>
      <c r="P59" s="349">
        <v>0</v>
      </c>
      <c r="Q59" s="41">
        <f>VLOOKUP(K59,'Chemical List (Alfalfa)'!$A$56:$D$75,2,FALSE)</f>
        <v>0</v>
      </c>
      <c r="R59" s="43">
        <f t="shared" si="16"/>
        <v>0</v>
      </c>
      <c r="S59" s="22"/>
      <c r="T59" s="22"/>
      <c r="U59" s="338" t="s">
        <v>13</v>
      </c>
      <c r="V59" s="94"/>
      <c r="W59" s="15" t="str">
        <f>VLOOKUP(U59,'Chemical List (Grass)'!$A$145:$D$191,4,FALSE)</f>
        <v>None</v>
      </c>
      <c r="X59" s="347">
        <v>0</v>
      </c>
      <c r="Y59" s="348">
        <f>VLOOKUP(U59,'Chemical List (Grass)'!$A$145:$D$191,3,FALSE)</f>
        <v>1</v>
      </c>
      <c r="Z59" s="349">
        <v>0</v>
      </c>
      <c r="AA59" s="41">
        <f>VLOOKUP(U59,'Chemical List (Grass)'!$A$145:$D$191,2,FALSE)</f>
        <v>0</v>
      </c>
      <c r="AB59" s="43">
        <f t="shared" si="17"/>
        <v>0</v>
      </c>
    </row>
    <row r="60" spans="1:28" ht="15.75">
      <c r="A60" s="338" t="s">
        <v>13</v>
      </c>
      <c r="B60" s="94"/>
      <c r="C60" s="15" t="str">
        <f>VLOOKUP(A60,'Chemical List (Alfalfa)'!$A$56:$D$75,4,FALSE)</f>
        <v>None</v>
      </c>
      <c r="D60" s="347">
        <v>0</v>
      </c>
      <c r="E60" s="348">
        <f>VLOOKUP(A60,'Chemical List (Alfalfa)'!$A$56:$D$75,3,FALSE)</f>
        <v>1</v>
      </c>
      <c r="F60" s="349">
        <v>0</v>
      </c>
      <c r="G60" s="41">
        <f>VLOOKUP(A60,'Chemical List (Alfalfa)'!$A$56:$D$75,2,FALSE)</f>
        <v>0</v>
      </c>
      <c r="H60" s="43">
        <f t="shared" si="15"/>
        <v>0</v>
      </c>
      <c r="I60" s="18"/>
      <c r="J60" s="22"/>
      <c r="K60" s="338" t="s">
        <v>13</v>
      </c>
      <c r="L60" s="94"/>
      <c r="M60" s="15" t="str">
        <f>VLOOKUP(K60,'Chemical List (Alfalfa)'!$A$56:$D$75,4,FALSE)</f>
        <v>None</v>
      </c>
      <c r="N60" s="347">
        <v>0</v>
      </c>
      <c r="O60" s="348">
        <f>VLOOKUP(K60,'Chemical List (Alfalfa)'!$A$56:$D$75,3,FALSE)</f>
        <v>1</v>
      </c>
      <c r="P60" s="349">
        <v>0</v>
      </c>
      <c r="Q60" s="41">
        <f>VLOOKUP(K60,'Chemical List (Alfalfa)'!$A$56:$D$75,2,FALSE)</f>
        <v>0</v>
      </c>
      <c r="R60" s="43">
        <f t="shared" si="16"/>
        <v>0</v>
      </c>
      <c r="S60" s="22"/>
      <c r="T60" s="22"/>
      <c r="U60" s="338" t="s">
        <v>13</v>
      </c>
      <c r="V60" s="94"/>
      <c r="W60" s="15" t="str">
        <f>VLOOKUP(U60,'Chemical List (Grass)'!$A$145:$D$191,4,FALSE)</f>
        <v>None</v>
      </c>
      <c r="X60" s="347">
        <v>0</v>
      </c>
      <c r="Y60" s="348">
        <f>VLOOKUP(U60,'Chemical List (Grass)'!$A$145:$D$191,3,FALSE)</f>
        <v>1</v>
      </c>
      <c r="Z60" s="349">
        <v>0</v>
      </c>
      <c r="AA60" s="41">
        <f>VLOOKUP(U60,'Chemical List (Grass)'!$A$145:$D$191,2,FALSE)</f>
        <v>0</v>
      </c>
      <c r="AB60" s="43">
        <f t="shared" si="17"/>
        <v>0</v>
      </c>
    </row>
    <row r="61" spans="1:28" ht="15.75">
      <c r="A61" s="338" t="s">
        <v>13</v>
      </c>
      <c r="B61" s="94"/>
      <c r="C61" s="15" t="str">
        <f>VLOOKUP(A61,'Chemical List (Alfalfa)'!$A$56:$D$75,4,FALSE)</f>
        <v>None</v>
      </c>
      <c r="D61" s="347">
        <v>0</v>
      </c>
      <c r="E61" s="348">
        <f>VLOOKUP(A61,'Chemical List (Alfalfa)'!$A$56:$D$75,3,FALSE)</f>
        <v>1</v>
      </c>
      <c r="F61" s="349">
        <v>0</v>
      </c>
      <c r="G61" s="41">
        <f>VLOOKUP(A61,'Chemical List (Alfalfa)'!$A$56:$D$75,2,FALSE)</f>
        <v>0</v>
      </c>
      <c r="H61" s="43">
        <f t="shared" si="15"/>
        <v>0</v>
      </c>
      <c r="I61" s="18"/>
      <c r="J61" s="22"/>
      <c r="K61" s="338" t="s">
        <v>13</v>
      </c>
      <c r="L61" s="94"/>
      <c r="M61" s="15" t="str">
        <f>VLOOKUP(K61,'Chemical List (Alfalfa)'!$A$56:$D$75,4,FALSE)</f>
        <v>None</v>
      </c>
      <c r="N61" s="347">
        <v>0</v>
      </c>
      <c r="O61" s="348">
        <f>VLOOKUP(K61,'Chemical List (Alfalfa)'!$A$56:$D$75,3,FALSE)</f>
        <v>1</v>
      </c>
      <c r="P61" s="349">
        <v>0</v>
      </c>
      <c r="Q61" s="41">
        <f>VLOOKUP(K61,'Chemical List (Alfalfa)'!$A$56:$D$75,2,FALSE)</f>
        <v>0</v>
      </c>
      <c r="R61" s="43">
        <f t="shared" si="16"/>
        <v>0</v>
      </c>
      <c r="S61" s="22"/>
      <c r="T61" s="22"/>
      <c r="U61" s="338" t="s">
        <v>13</v>
      </c>
      <c r="V61" s="94"/>
      <c r="W61" s="15" t="str">
        <f>VLOOKUP(U61,'Chemical List (Grass)'!$A$145:$D$191,4,FALSE)</f>
        <v>None</v>
      </c>
      <c r="X61" s="347">
        <v>0</v>
      </c>
      <c r="Y61" s="348">
        <f>VLOOKUP(U61,'Chemical List (Grass)'!$A$145:$D$191,3,FALSE)</f>
        <v>1</v>
      </c>
      <c r="Z61" s="349">
        <v>0</v>
      </c>
      <c r="AA61" s="41">
        <f>VLOOKUP(U61,'Chemical List (Grass)'!$A$145:$D$191,2,FALSE)</f>
        <v>0</v>
      </c>
      <c r="AB61" s="43">
        <f t="shared" si="17"/>
        <v>0</v>
      </c>
    </row>
    <row r="62" spans="1:28" ht="15.75">
      <c r="A62" s="45"/>
      <c r="B62" s="94"/>
      <c r="C62" s="39"/>
      <c r="D62" s="40"/>
      <c r="E62" s="41"/>
      <c r="F62" s="42"/>
      <c r="G62" s="41"/>
      <c r="H62" s="43"/>
      <c r="I62" s="44"/>
      <c r="J62" s="2"/>
      <c r="K62" s="45"/>
      <c r="L62" s="104"/>
      <c r="M62" s="39"/>
      <c r="N62" s="40"/>
      <c r="O62" s="41"/>
      <c r="P62" s="42"/>
      <c r="Q62" s="41"/>
      <c r="R62" s="43"/>
      <c r="S62" s="2"/>
      <c r="T62" s="2"/>
      <c r="U62" s="45"/>
      <c r="V62" s="104"/>
      <c r="W62" s="39"/>
      <c r="X62" s="40"/>
      <c r="Y62" s="41"/>
      <c r="Z62" s="42"/>
      <c r="AA62" s="41"/>
      <c r="AB62" s="43"/>
    </row>
    <row r="63" spans="1:28" ht="15.75">
      <c r="A63" s="45"/>
      <c r="B63" s="94"/>
      <c r="C63" s="39"/>
      <c r="D63" s="40"/>
      <c r="E63" s="41"/>
      <c r="F63" s="42"/>
      <c r="G63" s="41"/>
      <c r="H63" s="43"/>
      <c r="I63" s="44"/>
      <c r="J63" s="2"/>
      <c r="K63" s="45"/>
      <c r="L63" s="38"/>
      <c r="M63" s="39"/>
      <c r="N63" s="40"/>
      <c r="O63" s="41"/>
      <c r="P63" s="42"/>
      <c r="Q63" s="41"/>
      <c r="R63" s="43"/>
      <c r="S63" s="2"/>
      <c r="T63" s="2"/>
      <c r="U63" s="45"/>
      <c r="V63" s="38"/>
      <c r="W63" s="39"/>
      <c r="X63" s="40"/>
      <c r="Y63" s="41"/>
      <c r="Z63" s="42"/>
      <c r="AA63" s="41"/>
      <c r="AB63" s="43"/>
    </row>
    <row r="64" spans="1:28" ht="16.5" thickBot="1">
      <c r="A64" s="208" t="s">
        <v>280</v>
      </c>
      <c r="B64" s="209"/>
      <c r="C64" s="205"/>
      <c r="D64" s="205"/>
      <c r="E64" s="205"/>
      <c r="F64" s="205"/>
      <c r="G64" s="206"/>
      <c r="H64" s="207">
        <f>SUM(H57:H61)</f>
        <v>0</v>
      </c>
      <c r="I64" s="108"/>
      <c r="J64" s="2"/>
      <c r="K64" s="208" t="s">
        <v>280</v>
      </c>
      <c r="L64" s="209"/>
      <c r="M64" s="205"/>
      <c r="N64" s="205"/>
      <c r="O64" s="205"/>
      <c r="P64" s="205"/>
      <c r="Q64" s="206"/>
      <c r="R64" s="207">
        <f>SUM(R57:R61)</f>
        <v>0</v>
      </c>
      <c r="S64" s="2"/>
      <c r="T64" s="2"/>
      <c r="U64" s="208" t="s">
        <v>280</v>
      </c>
      <c r="V64" s="209"/>
      <c r="W64" s="205"/>
      <c r="X64" s="205"/>
      <c r="Y64" s="205"/>
      <c r="Z64" s="205"/>
      <c r="AA64" s="206"/>
      <c r="AB64" s="207">
        <f>SUM(AB57:AB61)</f>
        <v>0</v>
      </c>
    </row>
    <row r="65" spans="1:28" ht="16.5" thickTop="1">
      <c r="A65" s="52"/>
      <c r="B65" s="53"/>
      <c r="C65" s="53"/>
      <c r="D65" s="2"/>
      <c r="E65" s="2"/>
      <c r="F65" s="2"/>
      <c r="G65" s="54"/>
      <c r="H65" s="55"/>
      <c r="I65" s="2"/>
      <c r="J65" s="2"/>
      <c r="K65" s="52"/>
      <c r="L65" s="53"/>
      <c r="M65" s="53"/>
      <c r="N65" s="2"/>
      <c r="O65" s="2"/>
      <c r="P65" s="2"/>
      <c r="Q65" s="54"/>
      <c r="R65" s="55"/>
      <c r="S65" s="2"/>
      <c r="T65" s="2"/>
      <c r="U65" s="52"/>
      <c r="V65" s="53"/>
      <c r="W65" s="53"/>
      <c r="X65" s="2"/>
      <c r="Y65" s="2"/>
      <c r="Z65" s="2"/>
      <c r="AA65" s="54"/>
      <c r="AB65" s="55"/>
    </row>
    <row r="66" spans="1:28" ht="15.75">
      <c r="A66" s="52"/>
      <c r="B66" s="53"/>
      <c r="C66" s="53"/>
      <c r="D66" s="2"/>
      <c r="E66" s="2"/>
      <c r="F66" s="2"/>
      <c r="G66" s="54"/>
      <c r="H66" s="55"/>
      <c r="I66" s="2"/>
      <c r="J66" s="2"/>
      <c r="K66" s="52"/>
      <c r="L66" s="53"/>
      <c r="M66" s="53"/>
      <c r="N66" s="2"/>
      <c r="O66" s="2"/>
      <c r="P66" s="2"/>
      <c r="Q66" s="54"/>
      <c r="R66" s="55"/>
      <c r="S66" s="2"/>
      <c r="T66" s="2"/>
      <c r="U66" s="52"/>
      <c r="V66" s="53"/>
      <c r="W66" s="53"/>
      <c r="X66" s="2"/>
      <c r="Y66" s="2"/>
      <c r="Z66" s="2"/>
      <c r="AA66" s="54"/>
      <c r="AB66" s="55"/>
    </row>
    <row r="67" spans="1:28" ht="16.5" thickBot="1">
      <c r="A67" s="200" t="s">
        <v>153</v>
      </c>
      <c r="B67" s="201"/>
      <c r="C67" s="202"/>
      <c r="D67" s="202"/>
      <c r="E67" s="202"/>
      <c r="F67" s="202"/>
      <c r="G67" s="203"/>
      <c r="H67" s="204">
        <f>H64+H53+H40+H19</f>
        <v>0</v>
      </c>
      <c r="I67" s="108"/>
      <c r="J67" s="2"/>
      <c r="K67" s="200" t="s">
        <v>153</v>
      </c>
      <c r="L67" s="201"/>
      <c r="M67" s="202"/>
      <c r="N67" s="202"/>
      <c r="O67" s="202"/>
      <c r="P67" s="202"/>
      <c r="Q67" s="203"/>
      <c r="R67" s="204">
        <f>R64+R53+R40+R19</f>
        <v>0</v>
      </c>
      <c r="S67" s="2"/>
      <c r="T67" s="2"/>
      <c r="U67" s="200" t="s">
        <v>153</v>
      </c>
      <c r="V67" s="201"/>
      <c r="W67" s="202"/>
      <c r="X67" s="202"/>
      <c r="Y67" s="202"/>
      <c r="Z67" s="202"/>
      <c r="AA67" s="203"/>
      <c r="AB67" s="204">
        <f>AB64+AB53+AB40+AB19</f>
        <v>0</v>
      </c>
    </row>
    <row r="68" spans="1:28" ht="16.5" thickTop="1">
      <c r="A68" s="52"/>
      <c r="B68" s="53"/>
      <c r="C68" s="53"/>
      <c r="D68" s="2"/>
      <c r="E68" s="2"/>
      <c r="F68" s="2"/>
      <c r="G68" s="54"/>
      <c r="H68" s="55"/>
      <c r="I68" s="2"/>
      <c r="J68" s="2"/>
      <c r="K68" s="52"/>
      <c r="L68" s="53"/>
      <c r="M68" s="53"/>
      <c r="N68" s="2"/>
      <c r="O68" s="2"/>
      <c r="P68" s="2"/>
      <c r="Q68" s="54"/>
      <c r="R68" s="55"/>
      <c r="S68" s="2"/>
      <c r="T68" s="2"/>
      <c r="U68" s="52"/>
      <c r="V68" s="53"/>
      <c r="W68" s="53"/>
      <c r="X68" s="2"/>
      <c r="Y68" s="2"/>
      <c r="Z68" s="2"/>
      <c r="AA68" s="54"/>
      <c r="AB68" s="55"/>
    </row>
    <row r="69" spans="1:28" ht="16.5" thickBot="1">
      <c r="A69" s="31"/>
      <c r="B69" s="85"/>
      <c r="C69" s="85"/>
      <c r="D69" s="85"/>
      <c r="E69" s="85"/>
      <c r="F69" s="85"/>
      <c r="G69" s="113"/>
      <c r="H69" s="86"/>
      <c r="I69" s="2"/>
      <c r="J69" s="2"/>
      <c r="K69" s="31"/>
      <c r="L69" s="85"/>
      <c r="M69" s="85"/>
      <c r="N69" s="85"/>
      <c r="O69" s="85"/>
      <c r="P69" s="85"/>
      <c r="Q69" s="113"/>
      <c r="R69" s="86"/>
      <c r="S69" s="2"/>
      <c r="T69" s="2"/>
      <c r="U69" s="31"/>
      <c r="V69" s="85"/>
      <c r="W69" s="85"/>
      <c r="X69" s="85"/>
      <c r="Y69" s="85"/>
      <c r="Z69" s="85"/>
      <c r="AA69" s="113"/>
      <c r="AB69" s="86"/>
    </row>
  </sheetData>
  <sheetProtection algorithmName="SHA-512" hashValue="S+su0cjc8+BNbtJXHGnrAyTxwOqcjponl+Reiie8uwyTXgcgH7s9DX3czwKIF4l54IviYLpmIlbpR/8WMmhFug==" saltValue="p5ELyEsWp9pq+xLLpMpLcg==" spinCount="100000" sheet="1" objects="1" scenarios="1"/>
  <dataConsolidate/>
  <mergeCells count="16">
    <mergeCell ref="T38:T39"/>
    <mergeCell ref="U1:AB1"/>
    <mergeCell ref="U3:AB3"/>
    <mergeCell ref="U22:AB22"/>
    <mergeCell ref="U43:AB43"/>
    <mergeCell ref="T17:T18"/>
    <mergeCell ref="A3:H3"/>
    <mergeCell ref="A22:H22"/>
    <mergeCell ref="A1:H1"/>
    <mergeCell ref="A43:H43"/>
    <mergeCell ref="K1:R1"/>
    <mergeCell ref="K3:R3"/>
    <mergeCell ref="K22:R22"/>
    <mergeCell ref="K43:R43"/>
    <mergeCell ref="J17:J18"/>
    <mergeCell ref="J38:J39"/>
  </mergeCells>
  <conditionalFormatting sqref="I11 I21">
    <cfRule type="dataBar" priority="121">
      <dataBar>
        <cfvo type="min"/>
        <cfvo type="max"/>
        <color rgb="FF63C384"/>
      </dataBar>
    </cfRule>
  </conditionalFormatting>
  <conditionalFormatting sqref="I6:I10">
    <cfRule type="dataBar" priority="120">
      <dataBar>
        <cfvo type="min"/>
        <cfvo type="max"/>
        <color rgb="FF63C384"/>
      </dataBar>
    </cfRule>
  </conditionalFormatting>
  <conditionalFormatting sqref="I13:I18 I20">
    <cfRule type="dataBar" priority="116">
      <dataBar>
        <cfvo type="min"/>
        <cfvo type="max"/>
        <color rgb="FF63C384"/>
      </dataBar>
    </cfRule>
  </conditionalFormatting>
  <conditionalFormatting sqref="I30:I31">
    <cfRule type="dataBar" priority="115">
      <dataBar>
        <cfvo type="min"/>
        <cfvo type="max"/>
        <color rgb="FF63C384"/>
      </dataBar>
    </cfRule>
  </conditionalFormatting>
  <conditionalFormatting sqref="I25:I29">
    <cfRule type="dataBar" priority="114">
      <dataBar>
        <cfvo type="min"/>
        <cfvo type="max"/>
        <color rgb="FF63C384"/>
      </dataBar>
    </cfRule>
  </conditionalFormatting>
  <conditionalFormatting sqref="I55">
    <cfRule type="dataBar" priority="111">
      <dataBar>
        <cfvo type="min"/>
        <cfvo type="max"/>
        <color rgb="FF63C384"/>
      </dataBar>
    </cfRule>
  </conditionalFormatting>
  <conditionalFormatting sqref="I57:I61">
    <cfRule type="dataBar" priority="110">
      <dataBar>
        <cfvo type="min"/>
        <cfvo type="max"/>
        <color rgb="FF63C384"/>
      </dataBar>
    </cfRule>
  </conditionalFormatting>
  <conditionalFormatting sqref="I39">
    <cfRule type="dataBar" priority="109">
      <dataBar>
        <cfvo type="min"/>
        <cfvo type="max"/>
        <color rgb="FF63C384"/>
      </dataBar>
    </cfRule>
  </conditionalFormatting>
  <conditionalFormatting sqref="I38">
    <cfRule type="dataBar" priority="108">
      <dataBar>
        <cfvo type="min"/>
        <cfvo type="max"/>
        <color rgb="FF63C384"/>
      </dataBar>
    </cfRule>
  </conditionalFormatting>
  <conditionalFormatting sqref="I46:I51 I54">
    <cfRule type="dataBar" priority="249">
      <dataBar>
        <cfvo type="min"/>
        <cfvo type="max"/>
        <color rgb="FF63C384"/>
      </dataBar>
    </cfRule>
  </conditionalFormatting>
  <conditionalFormatting sqref="I52">
    <cfRule type="dataBar" priority="107">
      <dataBar>
        <cfvo type="min"/>
        <cfvo type="max"/>
        <color rgb="FF63C384"/>
      </dataBar>
    </cfRule>
  </conditionalFormatting>
  <conditionalFormatting sqref="H62:I62">
    <cfRule type="dataBar" priority="106">
      <dataBar>
        <cfvo type="min"/>
        <cfvo type="max"/>
        <color rgb="FF63C384"/>
      </dataBar>
    </cfRule>
  </conditionalFormatting>
  <conditionalFormatting sqref="H63:I63">
    <cfRule type="dataBar" priority="105">
      <dataBar>
        <cfvo type="min"/>
        <cfvo type="max"/>
        <color rgb="FF63C384"/>
      </dataBar>
    </cfRule>
  </conditionalFormatting>
  <conditionalFormatting sqref="I33:I37 I42">
    <cfRule type="dataBar" priority="265">
      <dataBar>
        <cfvo type="min"/>
        <cfvo type="max"/>
        <color rgb="FF63C384"/>
      </dataBar>
    </cfRule>
  </conditionalFormatting>
  <conditionalFormatting sqref="R21 R11">
    <cfRule type="dataBar" priority="102">
      <dataBar>
        <cfvo type="min"/>
        <cfvo type="max"/>
        <color rgb="FF63C384"/>
      </dataBar>
    </cfRule>
  </conditionalFormatting>
  <conditionalFormatting sqref="R6:R10">
    <cfRule type="dataBar" priority="101">
      <dataBar>
        <cfvo type="min"/>
        <cfvo type="max"/>
        <color rgb="FF63C384"/>
      </dataBar>
    </cfRule>
  </conditionalFormatting>
  <conditionalFormatting sqref="R20 R18">
    <cfRule type="dataBar" priority="100">
      <dataBar>
        <cfvo type="min"/>
        <cfvo type="max"/>
        <color rgb="FF63C384"/>
      </dataBar>
    </cfRule>
  </conditionalFormatting>
  <conditionalFormatting sqref="R30:R31">
    <cfRule type="dataBar" priority="99">
      <dataBar>
        <cfvo type="min"/>
        <cfvo type="max"/>
        <color rgb="FF63C384"/>
      </dataBar>
    </cfRule>
  </conditionalFormatting>
  <conditionalFormatting sqref="R55">
    <cfRule type="dataBar" priority="97">
      <dataBar>
        <cfvo type="min"/>
        <cfvo type="max"/>
        <color rgb="FF63C384"/>
      </dataBar>
    </cfRule>
  </conditionalFormatting>
  <conditionalFormatting sqref="R57">
    <cfRule type="dataBar" priority="96">
      <dataBar>
        <cfvo type="min"/>
        <cfvo type="max"/>
        <color rgb="FF63C384"/>
      </dataBar>
    </cfRule>
  </conditionalFormatting>
  <conditionalFormatting sqref="R39">
    <cfRule type="dataBar" priority="95">
      <dataBar>
        <cfvo type="min"/>
        <cfvo type="max"/>
        <color rgb="FF63C384"/>
      </dataBar>
    </cfRule>
  </conditionalFormatting>
  <conditionalFormatting sqref="R38">
    <cfRule type="dataBar" priority="94">
      <dataBar>
        <cfvo type="min"/>
        <cfvo type="max"/>
        <color rgb="FF63C384"/>
      </dataBar>
    </cfRule>
  </conditionalFormatting>
  <conditionalFormatting sqref="R46:R51 R54">
    <cfRule type="dataBar" priority="103">
      <dataBar>
        <cfvo type="min"/>
        <cfvo type="max"/>
        <color rgb="FF63C384"/>
      </dataBar>
    </cfRule>
  </conditionalFormatting>
  <conditionalFormatting sqref="R52">
    <cfRule type="dataBar" priority="93">
      <dataBar>
        <cfvo type="min"/>
        <cfvo type="max"/>
        <color rgb="FF63C384"/>
      </dataBar>
    </cfRule>
  </conditionalFormatting>
  <conditionalFormatting sqref="R62">
    <cfRule type="dataBar" priority="92">
      <dataBar>
        <cfvo type="min"/>
        <cfvo type="max"/>
        <color rgb="FF63C384"/>
      </dataBar>
    </cfRule>
  </conditionalFormatting>
  <conditionalFormatting sqref="R63">
    <cfRule type="dataBar" priority="91">
      <dataBar>
        <cfvo type="min"/>
        <cfvo type="max"/>
        <color rgb="FF63C384"/>
      </dataBar>
    </cfRule>
  </conditionalFormatting>
  <conditionalFormatting sqref="R42">
    <cfRule type="dataBar" priority="104">
      <dataBar>
        <cfvo type="min"/>
        <cfvo type="max"/>
        <color rgb="FF63C384"/>
      </dataBar>
    </cfRule>
  </conditionalFormatting>
  <conditionalFormatting sqref="R13:R17">
    <cfRule type="dataBar" priority="76">
      <dataBar>
        <cfvo type="min"/>
        <cfvo type="max"/>
        <color rgb="FF63C384"/>
      </dataBar>
    </cfRule>
  </conditionalFormatting>
  <conditionalFormatting sqref="R25">
    <cfRule type="dataBar" priority="72">
      <dataBar>
        <cfvo type="min"/>
        <cfvo type="max"/>
        <color rgb="FF63C384"/>
      </dataBar>
    </cfRule>
  </conditionalFormatting>
  <conditionalFormatting sqref="AB62">
    <cfRule type="dataBar" priority="67">
      <dataBar>
        <cfvo type="min"/>
        <cfvo type="max"/>
        <color rgb="FF63C384"/>
      </dataBar>
    </cfRule>
  </conditionalFormatting>
  <conditionalFormatting sqref="AB63">
    <cfRule type="dataBar" priority="66">
      <dataBar>
        <cfvo type="min"/>
        <cfvo type="max"/>
        <color rgb="FF63C384"/>
      </dataBar>
    </cfRule>
  </conditionalFormatting>
  <conditionalFormatting sqref="R33:R37">
    <cfRule type="dataBar" priority="64">
      <dataBar>
        <cfvo type="min"/>
        <cfvo type="max"/>
        <color rgb="FF63C384"/>
      </dataBar>
    </cfRule>
  </conditionalFormatting>
  <conditionalFormatting sqref="R58:R61">
    <cfRule type="dataBar" priority="50">
      <dataBar>
        <cfvo type="min"/>
        <cfvo type="max"/>
        <color rgb="FF63C384"/>
      </dataBar>
    </cfRule>
  </conditionalFormatting>
  <conditionalFormatting sqref="R26:R29">
    <cfRule type="dataBar" priority="49">
      <dataBar>
        <cfvo type="min"/>
        <cfvo type="max"/>
        <color rgb="FF63C384"/>
      </dataBar>
    </cfRule>
  </conditionalFormatting>
  <conditionalFormatting sqref="AB11 AB21">
    <cfRule type="dataBar" priority="31">
      <dataBar>
        <cfvo type="min"/>
        <cfvo type="max"/>
        <color rgb="FF63C384"/>
      </dataBar>
    </cfRule>
  </conditionalFormatting>
  <conditionalFormatting sqref="AB6:AB10">
    <cfRule type="dataBar" priority="30">
      <dataBar>
        <cfvo type="min"/>
        <cfvo type="max"/>
        <color rgb="FF63C384"/>
      </dataBar>
    </cfRule>
  </conditionalFormatting>
  <conditionalFormatting sqref="AB13:AB18 AB20">
    <cfRule type="dataBar" priority="29">
      <dataBar>
        <cfvo type="min"/>
        <cfvo type="max"/>
        <color rgb="FF63C384"/>
      </dataBar>
    </cfRule>
  </conditionalFormatting>
  <conditionalFormatting sqref="AB30:AB31">
    <cfRule type="dataBar" priority="28">
      <dataBar>
        <cfvo type="min"/>
        <cfvo type="max"/>
        <color rgb="FF63C384"/>
      </dataBar>
    </cfRule>
  </conditionalFormatting>
  <conditionalFormatting sqref="AB25:AB29">
    <cfRule type="dataBar" priority="27">
      <dataBar>
        <cfvo type="min"/>
        <cfvo type="max"/>
        <color rgb="FF63C384"/>
      </dataBar>
    </cfRule>
  </conditionalFormatting>
  <conditionalFormatting sqref="AB55">
    <cfRule type="dataBar" priority="26">
      <dataBar>
        <cfvo type="min"/>
        <cfvo type="max"/>
        <color rgb="FF63C384"/>
      </dataBar>
    </cfRule>
  </conditionalFormatting>
  <conditionalFormatting sqref="AB57">
    <cfRule type="dataBar" priority="25">
      <dataBar>
        <cfvo type="min"/>
        <cfvo type="max"/>
        <color rgb="FF63C384"/>
      </dataBar>
    </cfRule>
  </conditionalFormatting>
  <conditionalFormatting sqref="AB39">
    <cfRule type="dataBar" priority="24">
      <dataBar>
        <cfvo type="min"/>
        <cfvo type="max"/>
        <color rgb="FF63C384"/>
      </dataBar>
    </cfRule>
  </conditionalFormatting>
  <conditionalFormatting sqref="AB38">
    <cfRule type="dataBar" priority="23">
      <dataBar>
        <cfvo type="min"/>
        <cfvo type="max"/>
        <color rgb="FF63C384"/>
      </dataBar>
    </cfRule>
  </conditionalFormatting>
  <conditionalFormatting sqref="AB46 AB54 AB51">
    <cfRule type="dataBar" priority="32">
      <dataBar>
        <cfvo type="min"/>
        <cfvo type="max"/>
        <color rgb="FF63C384"/>
      </dataBar>
    </cfRule>
  </conditionalFormatting>
  <conditionalFormatting sqref="AB52">
    <cfRule type="dataBar" priority="22">
      <dataBar>
        <cfvo type="min"/>
        <cfvo type="max"/>
        <color rgb="FF63C384"/>
      </dataBar>
    </cfRule>
  </conditionalFormatting>
  <conditionalFormatting sqref="AB42">
    <cfRule type="dataBar" priority="33">
      <dataBar>
        <cfvo type="min"/>
        <cfvo type="max"/>
        <color rgb="FF63C384"/>
      </dataBar>
    </cfRule>
  </conditionalFormatting>
  <conditionalFormatting sqref="H21 H11">
    <cfRule type="dataBar" priority="18">
      <dataBar>
        <cfvo type="min"/>
        <cfvo type="max"/>
        <color rgb="FF63C384"/>
      </dataBar>
    </cfRule>
  </conditionalFormatting>
  <conditionalFormatting sqref="H6:H10">
    <cfRule type="dataBar" priority="17">
      <dataBar>
        <cfvo type="min"/>
        <cfvo type="max"/>
        <color rgb="FF63C384"/>
      </dataBar>
    </cfRule>
  </conditionalFormatting>
  <conditionalFormatting sqref="H20 H18">
    <cfRule type="dataBar" priority="16">
      <dataBar>
        <cfvo type="min"/>
        <cfvo type="max"/>
        <color rgb="FF63C384"/>
      </dataBar>
    </cfRule>
  </conditionalFormatting>
  <conditionalFormatting sqref="H30:H31">
    <cfRule type="dataBar" priority="15">
      <dataBar>
        <cfvo type="min"/>
        <cfvo type="max"/>
        <color rgb="FF63C384"/>
      </dataBar>
    </cfRule>
  </conditionalFormatting>
  <conditionalFormatting sqref="H55">
    <cfRule type="dataBar" priority="14">
      <dataBar>
        <cfvo type="min"/>
        <cfvo type="max"/>
        <color rgb="FF63C384"/>
      </dataBar>
    </cfRule>
  </conditionalFormatting>
  <conditionalFormatting sqref="H57">
    <cfRule type="dataBar" priority="13">
      <dataBar>
        <cfvo type="min"/>
        <cfvo type="max"/>
        <color rgb="FF63C384"/>
      </dataBar>
    </cfRule>
  </conditionalFormatting>
  <conditionalFormatting sqref="H39">
    <cfRule type="dataBar" priority="12">
      <dataBar>
        <cfvo type="min"/>
        <cfvo type="max"/>
        <color rgb="FF63C384"/>
      </dataBar>
    </cfRule>
  </conditionalFormatting>
  <conditionalFormatting sqref="H38">
    <cfRule type="dataBar" priority="11">
      <dataBar>
        <cfvo type="min"/>
        <cfvo type="max"/>
        <color rgb="FF63C384"/>
      </dataBar>
    </cfRule>
  </conditionalFormatting>
  <conditionalFormatting sqref="H46:H51 H54">
    <cfRule type="dataBar" priority="19">
      <dataBar>
        <cfvo type="min"/>
        <cfvo type="max"/>
        <color rgb="FF63C384"/>
      </dataBar>
    </cfRule>
  </conditionalFormatting>
  <conditionalFormatting sqref="H52">
    <cfRule type="dataBar" priority="10">
      <dataBar>
        <cfvo type="min"/>
        <cfvo type="max"/>
        <color rgb="FF63C384"/>
      </dataBar>
    </cfRule>
  </conditionalFormatting>
  <conditionalFormatting sqref="H42">
    <cfRule type="dataBar" priority="20">
      <dataBar>
        <cfvo type="min"/>
        <cfvo type="max"/>
        <color rgb="FF63C384"/>
      </dataBar>
    </cfRule>
  </conditionalFormatting>
  <conditionalFormatting sqref="H13:H17">
    <cfRule type="dataBar" priority="9">
      <dataBar>
        <cfvo type="min"/>
        <cfvo type="max"/>
        <color rgb="FF63C384"/>
      </dataBar>
    </cfRule>
  </conditionalFormatting>
  <conditionalFormatting sqref="H25">
    <cfRule type="dataBar" priority="8">
      <dataBar>
        <cfvo type="min"/>
        <cfvo type="max"/>
        <color rgb="FF63C384"/>
      </dataBar>
    </cfRule>
  </conditionalFormatting>
  <conditionalFormatting sqref="H33:H37">
    <cfRule type="dataBar" priority="7">
      <dataBar>
        <cfvo type="min"/>
        <cfvo type="max"/>
        <color rgb="FF63C384"/>
      </dataBar>
    </cfRule>
  </conditionalFormatting>
  <conditionalFormatting sqref="H58:H61">
    <cfRule type="dataBar" priority="6">
      <dataBar>
        <cfvo type="min"/>
        <cfvo type="max"/>
        <color rgb="FF63C384"/>
      </dataBar>
    </cfRule>
  </conditionalFormatting>
  <conditionalFormatting sqref="H26:H29">
    <cfRule type="dataBar" priority="5">
      <dataBar>
        <cfvo type="min"/>
        <cfvo type="max"/>
        <color rgb="FF63C384"/>
      </dataBar>
    </cfRule>
  </conditionalFormatting>
  <conditionalFormatting sqref="AB33:AB37">
    <cfRule type="dataBar" priority="4">
      <dataBar>
        <cfvo type="min"/>
        <cfvo type="max"/>
        <color rgb="FF63C384"/>
      </dataBar>
    </cfRule>
  </conditionalFormatting>
  <conditionalFormatting sqref="AB47:AB50">
    <cfRule type="dataBar" priority="2">
      <dataBar>
        <cfvo type="min"/>
        <cfvo type="max"/>
        <color rgb="FF63C384"/>
      </dataBar>
    </cfRule>
  </conditionalFormatting>
  <conditionalFormatting sqref="AB58:AB61">
    <cfRule type="dataBar" priority="1">
      <dataBar>
        <cfvo type="min"/>
        <cfvo type="max"/>
        <color rgb="FF63C384"/>
      </dataBar>
    </cfRule>
  </conditionalFormatting>
  <dataValidations count="4">
    <dataValidation type="list" allowBlank="1" showInputMessage="1" showErrorMessage="1" sqref="U42:V42 V52 K20:L20 U20:V20 V39 L39 K42:L42 L63 V63 A20:B20 B39 A42:B42" xr:uid="{00000000-0002-0000-0300-000000000000}">
      <formula1>$A$32:$A$42</formula1>
    </dataValidation>
    <dataValidation type="list" allowBlank="1" showInputMessage="1" showErrorMessage="1" sqref="L38 V38 B38" xr:uid="{00000000-0002-0000-0300-000001000000}">
      <formula1>$A$47:$A$57</formula1>
    </dataValidation>
    <dataValidation type="list" allowBlank="1" showInputMessage="1" showErrorMessage="1" sqref="A18:B18 L33:L37 L13:L17 K18:L18 B33:B37 B13:B17" xr:uid="{00000000-0002-0000-0300-000002000000}">
      <formula1>$A$83:$A$89</formula1>
    </dataValidation>
    <dataValidation type="list" allowBlank="1" showInputMessage="1" showErrorMessage="1" sqref="L62 V62" xr:uid="{00000000-0002-0000-0300-000003000000}">
      <formula1>$A$93:$A$100</formula1>
    </dataValidation>
  </dataValidations>
  <printOptions horizontalCentered="1"/>
  <pageMargins left="0.7" right="0.7" top="0.75" bottom="0.75" header="0.3" footer="0.3"/>
  <pageSetup scale="61" orientation="portrait" verticalDpi="0" r:id="rId1"/>
  <colBreaks count="1" manualBreakCount="1">
    <brk id="10" max="1048575" man="1"/>
  </colBreaks>
  <extLst>
    <ext xmlns:x14="http://schemas.microsoft.com/office/spreadsheetml/2009/9/main" uri="{CCE6A557-97BC-4b89-ADB6-D9C93CAAB3DF}">
      <x14:dataValidations xmlns:xm="http://schemas.microsoft.com/office/excel/2006/main" count="9">
        <x14:dataValidation type="list" allowBlank="1" showInputMessage="1" showErrorMessage="1" xr:uid="{F901AA21-1A22-4843-B9CC-CE0F37980A10}">
          <x14:formula1>
            <xm:f>'Chemical List (Alfalfa)'!$A$21:$A$31</xm:f>
          </x14:formula1>
          <xm:sqref>K6:K10 K25:K29 A25:A29</xm:sqref>
        </x14:dataValidation>
        <x14:dataValidation type="list" allowBlank="1" showInputMessage="1" showErrorMessage="1" xr:uid="{4F07E794-9885-4D3F-8EBA-3BA2FAC8F688}">
          <x14:formula1>
            <xm:f>'Chemical List (Alfalfa)'!$A$36:$A$44</xm:f>
          </x14:formula1>
          <xm:sqref>K46:K50 A46:A50</xm:sqref>
        </x14:dataValidation>
        <x14:dataValidation type="list" allowBlank="1" showInputMessage="1" showErrorMessage="1" xr:uid="{370A7D96-346E-45F7-BD1B-F58D5E7108B0}">
          <x14:formula1>
            <xm:f>'Chemical List (Alfalfa)'!$A$56:$A$75</xm:f>
          </x14:formula1>
          <xm:sqref>K57:K61 A57:A61</xm:sqref>
        </x14:dataValidation>
        <x14:dataValidation type="list" allowBlank="1" showInputMessage="1" showErrorMessage="1" xr:uid="{00000000-0002-0000-0300-000006000000}">
          <x14:formula1>
            <xm:f>'Chemical List (Grass)'!$A$4:$A$45</xm:f>
          </x14:formula1>
          <xm:sqref>U6:U10</xm:sqref>
        </x14:dataValidation>
        <x14:dataValidation type="list" allowBlank="1" showInputMessage="1" showErrorMessage="1" xr:uid="{00000000-0002-0000-0300-000007000000}">
          <x14:formula1>
            <xm:f>'Chemical List (Grass)'!$A$50:$A$94</xm:f>
          </x14:formula1>
          <xm:sqref>U25:U29</xm:sqref>
        </x14:dataValidation>
        <x14:dataValidation type="list" allowBlank="1" showInputMessage="1" showErrorMessage="1" xr:uid="{00000000-0002-0000-0300-000005000000}">
          <x14:formula1>
            <xm:f>'Chemical List (Grass)'!$A$99:$A$109</xm:f>
          </x14:formula1>
          <xm:sqref>K13:K17 U13:V18 K33:K37 A33:A37 A13:A17 U33:V37</xm:sqref>
        </x14:dataValidation>
        <x14:dataValidation type="list" allowBlank="1" showInputMessage="1" showErrorMessage="1" xr:uid="{00000000-0002-0000-0300-00000B000000}">
          <x14:formula1>
            <xm:f>'Chemical List (Grass)'!$A$114:$A$133</xm:f>
          </x14:formula1>
          <xm:sqref>U46:U50</xm:sqref>
        </x14:dataValidation>
        <x14:dataValidation type="list" allowBlank="1" showInputMessage="1" showErrorMessage="1" xr:uid="{00000000-0002-0000-0300-00000E000000}">
          <x14:formula1>
            <xm:f>'Chemical List (Grass)'!$A$145:$A$191</xm:f>
          </x14:formula1>
          <xm:sqref>U57:U61</xm:sqref>
        </x14:dataValidation>
        <x14:dataValidation type="list" allowBlank="1" showInputMessage="1" showErrorMessage="1" xr:uid="{5DBDD97E-CD53-471D-B474-02A95A11A15B}">
          <x14:formula1>
            <xm:f>'Chemical List (Alfalfa)'!$A$4:$A$13</xm:f>
          </x14:formula1>
          <xm:sqref>A6:A10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E94A-7FE8-4642-9EA6-571E7504F609}">
  <dimension ref="A1:F72"/>
  <sheetViews>
    <sheetView workbookViewId="0">
      <selection activeCell="D75" sqref="D75"/>
    </sheetView>
  </sheetViews>
  <sheetFormatPr defaultRowHeight="15"/>
  <cols>
    <col min="1" max="1" width="30.85546875" bestFit="1" customWidth="1"/>
    <col min="2" max="2" width="8.7109375" bestFit="1" customWidth="1"/>
    <col min="4" max="4" width="11.140625" bestFit="1" customWidth="1"/>
    <col min="5" max="5" width="7" bestFit="1" customWidth="1"/>
    <col min="6" max="6" width="12.85546875" bestFit="1" customWidth="1"/>
  </cols>
  <sheetData>
    <row r="1" spans="1:6">
      <c r="A1" s="4">
        <v>1</v>
      </c>
      <c r="B1" s="4">
        <v>2</v>
      </c>
      <c r="C1" s="4">
        <v>3</v>
      </c>
      <c r="D1" s="4">
        <v>4</v>
      </c>
      <c r="E1" s="4">
        <v>5</v>
      </c>
      <c r="F1" s="5" t="s">
        <v>250</v>
      </c>
    </row>
    <row r="2" spans="1:6" ht="18.75">
      <c r="A2" s="752" t="s">
        <v>322</v>
      </c>
      <c r="B2" s="752"/>
      <c r="C2" s="752"/>
      <c r="D2" s="752"/>
      <c r="E2" s="752"/>
      <c r="F2" s="752"/>
    </row>
    <row r="3" spans="1:6">
      <c r="A3" t="s">
        <v>46</v>
      </c>
      <c r="B3" t="s">
        <v>49</v>
      </c>
      <c r="C3" t="s">
        <v>48</v>
      </c>
      <c r="D3" t="s">
        <v>47</v>
      </c>
      <c r="E3" t="s">
        <v>212</v>
      </c>
      <c r="F3" s="5" t="s">
        <v>213</v>
      </c>
    </row>
    <row r="4" spans="1:6">
      <c r="A4" t="s">
        <v>13</v>
      </c>
      <c r="C4">
        <v>1</v>
      </c>
      <c r="D4" t="s">
        <v>13</v>
      </c>
      <c r="E4" t="s">
        <v>13</v>
      </c>
      <c r="F4" s="5"/>
    </row>
    <row r="5" spans="1:6">
      <c r="A5" t="s">
        <v>300</v>
      </c>
      <c r="B5" t="s">
        <v>52</v>
      </c>
      <c r="C5" s="3">
        <v>8</v>
      </c>
      <c r="D5" t="s">
        <v>53</v>
      </c>
      <c r="F5" s="5">
        <v>4</v>
      </c>
    </row>
    <row r="6" spans="1:6">
      <c r="A6" t="s">
        <v>301</v>
      </c>
      <c r="B6" t="s">
        <v>52</v>
      </c>
      <c r="C6" s="3">
        <v>8</v>
      </c>
      <c r="D6" t="s">
        <v>53</v>
      </c>
      <c r="F6" s="5" t="s">
        <v>248</v>
      </c>
    </row>
    <row r="7" spans="1:6">
      <c r="A7" t="s">
        <v>302</v>
      </c>
      <c r="B7" t="s">
        <v>55</v>
      </c>
      <c r="C7" s="3">
        <v>16</v>
      </c>
      <c r="D7" t="s">
        <v>30</v>
      </c>
      <c r="F7" s="5" t="s">
        <v>226</v>
      </c>
    </row>
    <row r="8" spans="1:6">
      <c r="A8" t="s">
        <v>303</v>
      </c>
      <c r="B8" t="s">
        <v>55</v>
      </c>
      <c r="C8" s="3">
        <v>128</v>
      </c>
      <c r="D8" t="s">
        <v>53</v>
      </c>
      <c r="F8" s="5" t="s">
        <v>319</v>
      </c>
    </row>
    <row r="9" spans="1:6">
      <c r="A9" t="s">
        <v>191</v>
      </c>
      <c r="B9" t="s">
        <v>52</v>
      </c>
      <c r="C9" s="3">
        <v>8</v>
      </c>
      <c r="D9" t="s">
        <v>53</v>
      </c>
      <c r="F9" s="5" t="s">
        <v>248</v>
      </c>
    </row>
    <row r="10" spans="1:6" ht="15.75">
      <c r="A10" s="2" t="s">
        <v>194</v>
      </c>
      <c r="B10" t="s">
        <v>52</v>
      </c>
      <c r="C10" s="3">
        <v>8</v>
      </c>
      <c r="D10" t="s">
        <v>53</v>
      </c>
      <c r="F10" s="5">
        <v>6</v>
      </c>
    </row>
    <row r="11" spans="1:6">
      <c r="A11" t="s">
        <v>304</v>
      </c>
      <c r="B11" t="s">
        <v>52</v>
      </c>
      <c r="C11" s="3">
        <v>8</v>
      </c>
      <c r="D11" t="s">
        <v>53</v>
      </c>
      <c r="F11" s="5" t="s">
        <v>320</v>
      </c>
    </row>
    <row r="12" spans="1:6">
      <c r="A12" t="s">
        <v>305</v>
      </c>
      <c r="B12" t="s">
        <v>55</v>
      </c>
      <c r="C12" s="3">
        <v>16</v>
      </c>
      <c r="D12" t="s">
        <v>30</v>
      </c>
      <c r="F12" s="5" t="s">
        <v>234</v>
      </c>
    </row>
    <row r="13" spans="1:6">
      <c r="A13" t="s">
        <v>306</v>
      </c>
      <c r="B13" t="s">
        <v>55</v>
      </c>
      <c r="C13" s="3">
        <v>16</v>
      </c>
      <c r="D13" t="s">
        <v>30</v>
      </c>
      <c r="F13" s="5" t="s">
        <v>234</v>
      </c>
    </row>
    <row r="14" spans="1:6">
      <c r="A14" t="s">
        <v>307</v>
      </c>
      <c r="B14" t="s">
        <v>55</v>
      </c>
      <c r="C14" s="3">
        <v>16</v>
      </c>
      <c r="D14" t="s">
        <v>30</v>
      </c>
      <c r="F14" s="5" t="s">
        <v>226</v>
      </c>
    </row>
    <row r="15" spans="1:6">
      <c r="A15" t="s">
        <v>308</v>
      </c>
      <c r="B15" t="s">
        <v>55</v>
      </c>
      <c r="C15" s="3">
        <v>128</v>
      </c>
      <c r="D15" t="s">
        <v>53</v>
      </c>
      <c r="F15" s="5" t="s">
        <v>321</v>
      </c>
    </row>
    <row r="16" spans="1:6">
      <c r="A16" t="s">
        <v>309</v>
      </c>
      <c r="B16" t="s">
        <v>52</v>
      </c>
      <c r="C16" s="3">
        <v>8</v>
      </c>
      <c r="D16" t="s">
        <v>53</v>
      </c>
      <c r="F16" s="5" t="s">
        <v>248</v>
      </c>
    </row>
    <row r="17" spans="1:6">
      <c r="A17" t="s">
        <v>310</v>
      </c>
      <c r="B17" t="s">
        <v>55</v>
      </c>
      <c r="C17" s="3">
        <v>16</v>
      </c>
      <c r="D17" t="s">
        <v>30</v>
      </c>
      <c r="F17" s="5" t="s">
        <v>226</v>
      </c>
    </row>
    <row r="18" spans="1:6">
      <c r="A18" t="s">
        <v>311</v>
      </c>
      <c r="B18" t="s">
        <v>55</v>
      </c>
      <c r="C18" s="3">
        <v>16</v>
      </c>
      <c r="D18" t="s">
        <v>30</v>
      </c>
      <c r="F18" s="5" t="s">
        <v>234</v>
      </c>
    </row>
    <row r="19" spans="1:6">
      <c r="A19" t="s">
        <v>312</v>
      </c>
      <c r="B19" t="s">
        <v>55</v>
      </c>
      <c r="C19" s="3">
        <v>16</v>
      </c>
      <c r="D19" t="s">
        <v>30</v>
      </c>
      <c r="F19" s="5" t="s">
        <v>234</v>
      </c>
    </row>
    <row r="20" spans="1:6">
      <c r="A20" t="s">
        <v>313</v>
      </c>
      <c r="B20" t="s">
        <v>55</v>
      </c>
      <c r="C20" s="3">
        <v>16</v>
      </c>
      <c r="D20" t="s">
        <v>30</v>
      </c>
      <c r="F20" s="5" t="s">
        <v>234</v>
      </c>
    </row>
    <row r="21" spans="1:6">
      <c r="A21" t="s">
        <v>68</v>
      </c>
      <c r="B21" t="s">
        <v>52</v>
      </c>
      <c r="C21" s="3">
        <v>8</v>
      </c>
      <c r="D21" t="s">
        <v>53</v>
      </c>
      <c r="F21" s="5" t="s">
        <v>233</v>
      </c>
    </row>
    <row r="22" spans="1:6">
      <c r="A22" t="s">
        <v>314</v>
      </c>
      <c r="B22" t="s">
        <v>52</v>
      </c>
      <c r="C22" s="3">
        <v>8</v>
      </c>
      <c r="D22" t="s">
        <v>53</v>
      </c>
      <c r="F22" s="5" t="s">
        <v>319</v>
      </c>
    </row>
    <row r="23" spans="1:6">
      <c r="A23" t="s">
        <v>315</v>
      </c>
      <c r="B23" t="s">
        <v>55</v>
      </c>
      <c r="C23" s="3">
        <v>16</v>
      </c>
      <c r="D23" t="s">
        <v>30</v>
      </c>
      <c r="F23" s="5" t="s">
        <v>222</v>
      </c>
    </row>
    <row r="24" spans="1:6">
      <c r="A24" t="s">
        <v>316</v>
      </c>
      <c r="B24" t="s">
        <v>52</v>
      </c>
      <c r="C24" s="3">
        <v>8</v>
      </c>
      <c r="D24" t="s">
        <v>53</v>
      </c>
      <c r="F24" s="5" t="s">
        <v>248</v>
      </c>
    </row>
    <row r="25" spans="1:6">
      <c r="A25" t="s">
        <v>199</v>
      </c>
      <c r="B25" t="s">
        <v>52</v>
      </c>
      <c r="C25" s="3">
        <v>8</v>
      </c>
      <c r="D25" t="s">
        <v>53</v>
      </c>
      <c r="F25" s="5" t="s">
        <v>248</v>
      </c>
    </row>
    <row r="26" spans="1:6">
      <c r="A26" t="s">
        <v>317</v>
      </c>
      <c r="B26" t="s">
        <v>55</v>
      </c>
      <c r="C26" s="3">
        <v>128</v>
      </c>
      <c r="D26" t="s">
        <v>53</v>
      </c>
      <c r="F26" s="5" t="s">
        <v>321</v>
      </c>
    </row>
    <row r="27" spans="1:6">
      <c r="A27" t="s">
        <v>318</v>
      </c>
      <c r="B27" t="s">
        <v>52</v>
      </c>
      <c r="C27" s="3">
        <v>8</v>
      </c>
      <c r="D27" t="s">
        <v>53</v>
      </c>
      <c r="F27" s="5" t="s">
        <v>320</v>
      </c>
    </row>
    <row r="30" spans="1:6" ht="21">
      <c r="A30" s="753" t="s">
        <v>382</v>
      </c>
      <c r="B30" s="753"/>
      <c r="C30" s="753"/>
      <c r="D30" s="753"/>
    </row>
    <row r="31" spans="1:6" ht="15.75">
      <c r="A31" s="2" t="s">
        <v>13</v>
      </c>
      <c r="C31" s="3">
        <v>1</v>
      </c>
      <c r="D31" t="s">
        <v>13</v>
      </c>
    </row>
    <row r="32" spans="1:6">
      <c r="A32" t="s">
        <v>375</v>
      </c>
      <c r="B32" t="s">
        <v>55</v>
      </c>
      <c r="C32" s="3">
        <v>128</v>
      </c>
      <c r="D32" t="s">
        <v>25</v>
      </c>
    </row>
    <row r="33" spans="1:4">
      <c r="A33" t="s">
        <v>376</v>
      </c>
      <c r="B33" t="s">
        <v>55</v>
      </c>
      <c r="C33" s="3">
        <v>128</v>
      </c>
      <c r="D33" t="s">
        <v>25</v>
      </c>
    </row>
    <row r="34" spans="1:4">
      <c r="A34" t="s">
        <v>367</v>
      </c>
      <c r="B34" t="s">
        <v>55</v>
      </c>
      <c r="C34" s="3">
        <v>128</v>
      </c>
      <c r="D34" t="s">
        <v>25</v>
      </c>
    </row>
    <row r="35" spans="1:4">
      <c r="A35" t="s">
        <v>370</v>
      </c>
      <c r="B35" t="s">
        <v>55</v>
      </c>
      <c r="C35" s="3">
        <v>128</v>
      </c>
      <c r="D35" t="s">
        <v>25</v>
      </c>
    </row>
    <row r="36" spans="1:4">
      <c r="A36" t="s">
        <v>377</v>
      </c>
      <c r="B36" t="s">
        <v>55</v>
      </c>
      <c r="C36" s="3">
        <v>128</v>
      </c>
      <c r="D36" t="s">
        <v>25</v>
      </c>
    </row>
    <row r="37" spans="1:4">
      <c r="A37" t="s">
        <v>369</v>
      </c>
      <c r="B37" t="s">
        <v>55</v>
      </c>
      <c r="C37" s="3">
        <v>128</v>
      </c>
      <c r="D37" t="s">
        <v>25</v>
      </c>
    </row>
    <row r="38" spans="1:4">
      <c r="A38" t="s">
        <v>371</v>
      </c>
      <c r="B38" t="s">
        <v>55</v>
      </c>
      <c r="C38" s="3">
        <v>128</v>
      </c>
      <c r="D38" t="s">
        <v>25</v>
      </c>
    </row>
    <row r="39" spans="1:4">
      <c r="A39" t="s">
        <v>368</v>
      </c>
      <c r="B39" t="s">
        <v>55</v>
      </c>
      <c r="C39" s="3">
        <v>128</v>
      </c>
      <c r="D39" t="s">
        <v>25</v>
      </c>
    </row>
    <row r="40" spans="1:4">
      <c r="A40" t="s">
        <v>378</v>
      </c>
      <c r="B40" t="s">
        <v>55</v>
      </c>
      <c r="C40" s="3">
        <v>128</v>
      </c>
      <c r="D40" t="s">
        <v>25</v>
      </c>
    </row>
    <row r="41" spans="1:4">
      <c r="A41" t="s">
        <v>379</v>
      </c>
      <c r="B41" t="s">
        <v>55</v>
      </c>
      <c r="C41" s="3">
        <v>128</v>
      </c>
      <c r="D41" t="s">
        <v>25</v>
      </c>
    </row>
    <row r="42" spans="1:4">
      <c r="A42" t="s">
        <v>74</v>
      </c>
      <c r="B42" t="s">
        <v>55</v>
      </c>
      <c r="C42" s="3">
        <v>128</v>
      </c>
      <c r="D42" t="s">
        <v>25</v>
      </c>
    </row>
    <row r="43" spans="1:4">
      <c r="A43" t="s">
        <v>372</v>
      </c>
      <c r="B43" t="s">
        <v>55</v>
      </c>
      <c r="C43" s="3">
        <v>128</v>
      </c>
      <c r="D43" t="s">
        <v>25</v>
      </c>
    </row>
    <row r="44" spans="1:4">
      <c r="A44" t="s">
        <v>373</v>
      </c>
      <c r="B44" t="s">
        <v>55</v>
      </c>
      <c r="C44" s="3">
        <v>128</v>
      </c>
      <c r="D44" t="s">
        <v>25</v>
      </c>
    </row>
    <row r="45" spans="1:4">
      <c r="A45" t="s">
        <v>380</v>
      </c>
      <c r="B45" t="s">
        <v>55</v>
      </c>
      <c r="C45" s="3">
        <v>128</v>
      </c>
      <c r="D45" t="s">
        <v>25</v>
      </c>
    </row>
    <row r="46" spans="1:4">
      <c r="A46" t="s">
        <v>75</v>
      </c>
      <c r="B46" t="s">
        <v>55</v>
      </c>
      <c r="C46" s="3">
        <v>128</v>
      </c>
      <c r="D46" t="s">
        <v>25</v>
      </c>
    </row>
    <row r="47" spans="1:4">
      <c r="A47" t="s">
        <v>374</v>
      </c>
      <c r="B47" t="s">
        <v>55</v>
      </c>
      <c r="C47" s="3">
        <v>128</v>
      </c>
      <c r="D47" t="s">
        <v>25</v>
      </c>
    </row>
    <row r="48" spans="1:4">
      <c r="A48" t="s">
        <v>381</v>
      </c>
      <c r="B48" t="s">
        <v>55</v>
      </c>
      <c r="C48" s="3">
        <v>128</v>
      </c>
      <c r="D48" t="s">
        <v>25</v>
      </c>
    </row>
    <row r="53" spans="1:4" ht="21">
      <c r="A53" s="753" t="s">
        <v>154</v>
      </c>
      <c r="B53" s="753"/>
      <c r="C53" s="753"/>
      <c r="D53" s="753"/>
    </row>
    <row r="54" spans="1:4" ht="15.75">
      <c r="A54" s="2" t="s">
        <v>13</v>
      </c>
      <c r="C54" s="3">
        <v>1</v>
      </c>
      <c r="D54" t="s">
        <v>13</v>
      </c>
    </row>
    <row r="55" spans="1:4">
      <c r="A55" t="s">
        <v>155</v>
      </c>
      <c r="B55" t="s">
        <v>52</v>
      </c>
      <c r="C55" s="3">
        <v>8</v>
      </c>
      <c r="D55" t="s">
        <v>53</v>
      </c>
    </row>
    <row r="56" spans="1:4">
      <c r="A56" t="s">
        <v>156</v>
      </c>
      <c r="B56" t="s">
        <v>55</v>
      </c>
      <c r="C56" s="3">
        <v>1</v>
      </c>
      <c r="D56" t="s">
        <v>53</v>
      </c>
    </row>
    <row r="57" spans="1:4">
      <c r="A57" t="s">
        <v>157</v>
      </c>
      <c r="B57" t="s">
        <v>58</v>
      </c>
      <c r="C57" s="3">
        <v>1</v>
      </c>
      <c r="D57" t="s">
        <v>30</v>
      </c>
    </row>
    <row r="58" spans="1:4">
      <c r="A58" t="s">
        <v>158</v>
      </c>
      <c r="B58" t="s">
        <v>50</v>
      </c>
      <c r="C58" s="3">
        <v>4</v>
      </c>
      <c r="D58" t="s">
        <v>53</v>
      </c>
    </row>
    <row r="61" spans="1:4" ht="15.75">
      <c r="A61" s="2" t="s">
        <v>13</v>
      </c>
      <c r="C61" s="3">
        <v>1</v>
      </c>
      <c r="D61" t="s">
        <v>13</v>
      </c>
    </row>
    <row r="62" spans="1:4">
      <c r="A62" t="s">
        <v>418</v>
      </c>
      <c r="B62" t="s">
        <v>55</v>
      </c>
      <c r="C62" s="3">
        <v>1</v>
      </c>
      <c r="D62" t="s">
        <v>53</v>
      </c>
    </row>
    <row r="63" spans="1:4">
      <c r="A63" t="s">
        <v>435</v>
      </c>
      <c r="B63" t="s">
        <v>58</v>
      </c>
      <c r="C63" s="3">
        <v>5</v>
      </c>
      <c r="D63" t="s">
        <v>30</v>
      </c>
    </row>
    <row r="64" spans="1:4">
      <c r="A64" t="s">
        <v>436</v>
      </c>
      <c r="B64" t="s">
        <v>52</v>
      </c>
      <c r="C64" s="3">
        <v>8</v>
      </c>
      <c r="D64" t="s">
        <v>53</v>
      </c>
    </row>
    <row r="65" spans="1:4">
      <c r="A65" t="s">
        <v>414</v>
      </c>
      <c r="B65" t="s">
        <v>58</v>
      </c>
      <c r="C65" s="3">
        <v>1</v>
      </c>
      <c r="D65" t="s">
        <v>30</v>
      </c>
    </row>
    <row r="66" spans="1:4">
      <c r="A66" t="s">
        <v>413</v>
      </c>
      <c r="B66" t="s">
        <v>55</v>
      </c>
      <c r="C66" s="3">
        <v>1</v>
      </c>
      <c r="D66" t="s">
        <v>53</v>
      </c>
    </row>
    <row r="67" spans="1:4">
      <c r="A67" t="s">
        <v>438</v>
      </c>
      <c r="B67" t="s">
        <v>52</v>
      </c>
      <c r="C67" s="3">
        <v>8</v>
      </c>
      <c r="D67" t="s">
        <v>53</v>
      </c>
    </row>
    <row r="68" spans="1:4">
      <c r="A68" t="s">
        <v>460</v>
      </c>
      <c r="B68" t="s">
        <v>55</v>
      </c>
      <c r="C68" s="3">
        <v>1</v>
      </c>
      <c r="D68" t="s">
        <v>53</v>
      </c>
    </row>
    <row r="69" spans="1:4">
      <c r="A69" t="s">
        <v>457</v>
      </c>
      <c r="B69" t="s">
        <v>55</v>
      </c>
      <c r="C69" s="3">
        <v>1</v>
      </c>
      <c r="D69" t="s">
        <v>53</v>
      </c>
    </row>
    <row r="70" spans="1:4">
      <c r="A70" t="s">
        <v>428</v>
      </c>
      <c r="B70" t="s">
        <v>50</v>
      </c>
      <c r="C70" s="3">
        <v>4</v>
      </c>
      <c r="D70" t="s">
        <v>53</v>
      </c>
    </row>
    <row r="71" spans="1:4">
      <c r="A71" t="s">
        <v>432</v>
      </c>
      <c r="B71" t="s">
        <v>55</v>
      </c>
      <c r="C71" s="3">
        <v>1</v>
      </c>
      <c r="D71" t="s">
        <v>53</v>
      </c>
    </row>
    <row r="72" spans="1:4">
      <c r="A72" t="s">
        <v>433</v>
      </c>
      <c r="B72" t="s">
        <v>55</v>
      </c>
      <c r="C72" s="3">
        <v>1</v>
      </c>
      <c r="D72" t="s">
        <v>53</v>
      </c>
    </row>
  </sheetData>
  <mergeCells count="3">
    <mergeCell ref="A2:F2"/>
    <mergeCell ref="A30:D30"/>
    <mergeCell ref="A53:D5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dimension ref="A1:L32"/>
  <sheetViews>
    <sheetView zoomScale="80" zoomScaleNormal="80" workbookViewId="0">
      <selection activeCell="A26" activeCellId="1" sqref="A1:L1 A26:L26"/>
    </sheetView>
  </sheetViews>
  <sheetFormatPr defaultColWidth="9.140625" defaultRowHeight="15"/>
  <cols>
    <col min="1" max="1" width="28.85546875" style="6" customWidth="1"/>
    <col min="2" max="2" width="18.85546875" style="6" bestFit="1" customWidth="1"/>
    <col min="3" max="3" width="16.7109375" style="6" bestFit="1" customWidth="1"/>
    <col min="4" max="4" width="11.140625" style="6" bestFit="1" customWidth="1"/>
    <col min="5" max="6" width="9.140625" style="6"/>
    <col min="7" max="7" width="10" style="6" bestFit="1" customWidth="1"/>
    <col min="8" max="8" width="21" style="6" bestFit="1" customWidth="1"/>
    <col min="9" max="9" width="22.140625" style="6" bestFit="1" customWidth="1"/>
    <col min="10" max="10" width="7.28515625" style="6" bestFit="1" customWidth="1"/>
    <col min="11" max="11" width="2" style="6" bestFit="1" customWidth="1"/>
    <col min="12" max="12" width="9.140625" style="6" bestFit="1" customWidth="1"/>
    <col min="13" max="16384" width="9.140625" style="6"/>
  </cols>
  <sheetData>
    <row r="1" spans="1:12" ht="18.75">
      <c r="A1" s="755" t="s">
        <v>254</v>
      </c>
      <c r="B1" s="755"/>
      <c r="C1" s="755"/>
      <c r="D1" s="755"/>
      <c r="E1" s="755"/>
      <c r="F1" s="755"/>
      <c r="G1" s="755"/>
      <c r="H1" s="755"/>
      <c r="I1" s="755"/>
      <c r="J1" s="755"/>
      <c r="K1" s="755"/>
      <c r="L1" s="755"/>
    </row>
    <row r="2" spans="1:12" ht="15.75">
      <c r="A2" s="341"/>
      <c r="B2" s="341"/>
      <c r="C2" s="341"/>
      <c r="D2" s="341"/>
      <c r="E2" s="341"/>
      <c r="F2" s="341"/>
      <c r="G2" s="341"/>
      <c r="H2" s="341"/>
      <c r="I2" s="341"/>
      <c r="J2" s="341"/>
      <c r="K2" s="341"/>
      <c r="L2" s="341"/>
    </row>
    <row r="3" spans="1:12" ht="15.75">
      <c r="A3" s="146" t="s">
        <v>276</v>
      </c>
      <c r="B3" s="95" t="s">
        <v>143</v>
      </c>
      <c r="C3" s="95" t="s">
        <v>143</v>
      </c>
      <c r="D3" s="2"/>
      <c r="E3" s="2"/>
      <c r="F3" s="2"/>
      <c r="G3" s="146" t="s">
        <v>25</v>
      </c>
      <c r="H3" s="2"/>
      <c r="I3" s="2"/>
      <c r="J3" s="2"/>
      <c r="K3" s="2"/>
      <c r="L3" s="2"/>
    </row>
    <row r="4" spans="1:12" ht="15.75">
      <c r="A4" s="146"/>
      <c r="B4" s="54" t="s">
        <v>255</v>
      </c>
      <c r="C4" s="54" t="s">
        <v>256</v>
      </c>
      <c r="D4" s="266" t="s">
        <v>257</v>
      </c>
      <c r="E4" s="2"/>
      <c r="F4" s="2"/>
      <c r="G4" s="2">
        <v>128</v>
      </c>
      <c r="H4" s="2" t="s">
        <v>258</v>
      </c>
      <c r="I4" s="2"/>
      <c r="J4" s="2"/>
      <c r="K4" s="2"/>
      <c r="L4" s="2"/>
    </row>
    <row r="5" spans="1:12" ht="15.75">
      <c r="A5" s="146"/>
      <c r="B5" s="304">
        <v>15</v>
      </c>
      <c r="C5" s="304">
        <v>100</v>
      </c>
      <c r="D5" s="342">
        <f>C5/B5</f>
        <v>6.666666666666667</v>
      </c>
      <c r="E5" s="2"/>
      <c r="F5" s="2"/>
      <c r="G5" s="2">
        <v>4</v>
      </c>
      <c r="H5" s="2" t="s">
        <v>32</v>
      </c>
      <c r="I5" s="2"/>
      <c r="J5" s="2"/>
      <c r="K5" s="2"/>
      <c r="L5" s="2"/>
    </row>
    <row r="6" spans="1:12" ht="15.75">
      <c r="A6" s="146"/>
      <c r="B6" s="54"/>
      <c r="C6" s="54"/>
      <c r="D6" s="54"/>
      <c r="E6" s="2"/>
      <c r="F6" s="2"/>
      <c r="G6" s="2">
        <v>8</v>
      </c>
      <c r="H6" s="2" t="s">
        <v>259</v>
      </c>
      <c r="I6" s="2"/>
      <c r="J6" s="2"/>
      <c r="K6" s="2"/>
      <c r="L6" s="2"/>
    </row>
    <row r="7" spans="1:12" ht="15.75">
      <c r="A7" s="146"/>
      <c r="B7" s="54" t="s">
        <v>260</v>
      </c>
      <c r="C7" s="54" t="s">
        <v>261</v>
      </c>
      <c r="D7" s="343" t="s">
        <v>262</v>
      </c>
      <c r="E7" s="2"/>
      <c r="F7" s="2"/>
      <c r="G7" s="2"/>
      <c r="H7" s="2"/>
      <c r="I7" s="2"/>
      <c r="J7" s="2"/>
      <c r="K7" s="2"/>
      <c r="L7" s="2"/>
    </row>
    <row r="8" spans="1:12" ht="15.75">
      <c r="A8" s="146"/>
      <c r="B8" s="304">
        <v>17</v>
      </c>
      <c r="C8" s="342">
        <f>D5</f>
        <v>6.666666666666667</v>
      </c>
      <c r="D8" s="344">
        <f>B8/C8</f>
        <v>2.5499999999999998</v>
      </c>
      <c r="E8" s="2"/>
      <c r="F8" s="2"/>
      <c r="G8" s="146" t="s">
        <v>263</v>
      </c>
      <c r="H8" s="2"/>
      <c r="I8" s="2"/>
      <c r="J8" s="2"/>
      <c r="K8" s="2"/>
      <c r="L8" s="2"/>
    </row>
    <row r="9" spans="1:12" ht="15.75">
      <c r="A9" s="146"/>
      <c r="B9" s="2"/>
      <c r="C9" s="267"/>
      <c r="D9" s="345"/>
      <c r="E9" s="2"/>
      <c r="F9" s="2"/>
      <c r="G9" s="2">
        <v>16</v>
      </c>
      <c r="H9" s="2" t="s">
        <v>258</v>
      </c>
      <c r="I9" s="2"/>
      <c r="J9" s="2"/>
      <c r="K9" s="2"/>
      <c r="L9" s="2"/>
    </row>
    <row r="10" spans="1:12" ht="15.75">
      <c r="A10" s="146" t="s">
        <v>275</v>
      </c>
      <c r="B10" s="95" t="s">
        <v>143</v>
      </c>
      <c r="C10" s="95" t="s">
        <v>143</v>
      </c>
      <c r="D10" s="2"/>
      <c r="E10" s="2"/>
      <c r="F10" s="2"/>
      <c r="G10" s="2"/>
      <c r="H10" s="2"/>
      <c r="I10" s="2"/>
      <c r="J10" s="2"/>
      <c r="K10" s="2"/>
      <c r="L10" s="2"/>
    </row>
    <row r="11" spans="1:12" ht="15.75">
      <c r="A11" s="146"/>
      <c r="B11" s="54" t="s">
        <v>255</v>
      </c>
      <c r="C11" s="54" t="s">
        <v>256</v>
      </c>
      <c r="D11" s="266" t="s">
        <v>257</v>
      </c>
      <c r="E11" s="2"/>
      <c r="F11" s="2"/>
      <c r="G11" s="2"/>
      <c r="H11" s="2"/>
      <c r="I11" s="2"/>
      <c r="J11" s="2"/>
      <c r="K11" s="2"/>
      <c r="L11" s="2"/>
    </row>
    <row r="12" spans="1:12" ht="15.75">
      <c r="A12" s="146"/>
      <c r="B12" s="304">
        <v>15</v>
      </c>
      <c r="C12" s="304">
        <v>100</v>
      </c>
      <c r="D12" s="342">
        <f>C12/B12</f>
        <v>6.666666666666667</v>
      </c>
      <c r="E12" s="2"/>
      <c r="F12" s="2"/>
      <c r="G12" s="346" t="s">
        <v>264</v>
      </c>
      <c r="H12" s="2" t="s">
        <v>265</v>
      </c>
      <c r="I12" s="2" t="s">
        <v>266</v>
      </c>
      <c r="J12" s="2" t="s">
        <v>267</v>
      </c>
      <c r="K12" s="2"/>
      <c r="L12" s="2"/>
    </row>
    <row r="13" spans="1:12" ht="15.75">
      <c r="A13" s="146"/>
      <c r="B13" s="54"/>
      <c r="C13" s="54"/>
      <c r="D13" s="54"/>
      <c r="E13" s="2"/>
      <c r="F13" s="2"/>
      <c r="G13" s="2">
        <v>0.125</v>
      </c>
      <c r="H13" s="54">
        <v>100</v>
      </c>
      <c r="I13" s="54">
        <v>1.25E-3</v>
      </c>
      <c r="J13" s="2">
        <v>0.125</v>
      </c>
      <c r="K13" s="54" t="s">
        <v>268</v>
      </c>
      <c r="L13" s="2" t="s">
        <v>269</v>
      </c>
    </row>
    <row r="14" spans="1:12" ht="15.75">
      <c r="A14" s="146"/>
      <c r="B14" s="54" t="s">
        <v>270</v>
      </c>
      <c r="C14" s="54" t="s">
        <v>261</v>
      </c>
      <c r="D14" s="343" t="s">
        <v>262</v>
      </c>
      <c r="E14" s="2"/>
      <c r="F14" s="2"/>
      <c r="G14" s="2">
        <v>0.25</v>
      </c>
      <c r="H14" s="54">
        <v>100</v>
      </c>
      <c r="I14" s="54">
        <v>2.5000000000000001E-3</v>
      </c>
      <c r="J14" s="2">
        <v>0.25</v>
      </c>
      <c r="K14" s="54" t="s">
        <v>268</v>
      </c>
      <c r="L14" s="2" t="s">
        <v>271</v>
      </c>
    </row>
    <row r="15" spans="1:12" ht="15.75">
      <c r="A15" s="146"/>
      <c r="B15" s="350">
        <v>16</v>
      </c>
      <c r="C15" s="342">
        <f>D12</f>
        <v>6.666666666666667</v>
      </c>
      <c r="D15" s="344">
        <f>B15/C15</f>
        <v>2.4</v>
      </c>
      <c r="E15" s="2"/>
      <c r="F15" s="2"/>
      <c r="G15" s="2">
        <v>0.5</v>
      </c>
      <c r="H15" s="54">
        <v>100</v>
      </c>
      <c r="I15" s="54">
        <v>5.0000000000000001E-3</v>
      </c>
      <c r="J15" s="2">
        <v>0.5</v>
      </c>
      <c r="K15" s="54" t="s">
        <v>268</v>
      </c>
      <c r="L15" s="2" t="s">
        <v>272</v>
      </c>
    </row>
    <row r="16" spans="1:12" ht="15.75">
      <c r="A16" s="2"/>
      <c r="B16" s="2"/>
      <c r="C16" s="2"/>
      <c r="D16" s="2"/>
      <c r="E16" s="2"/>
      <c r="F16" s="2"/>
      <c r="G16" s="2">
        <v>1</v>
      </c>
      <c r="H16" s="54">
        <v>100</v>
      </c>
      <c r="I16" s="54">
        <v>0.01</v>
      </c>
      <c r="J16" s="2">
        <v>1</v>
      </c>
      <c r="K16" s="54" t="s">
        <v>268</v>
      </c>
      <c r="L16" s="2" t="s">
        <v>273</v>
      </c>
    </row>
    <row r="17" spans="1:12" ht="15.75">
      <c r="A17" s="146" t="s">
        <v>277</v>
      </c>
      <c r="B17" s="95" t="s">
        <v>143</v>
      </c>
      <c r="C17" s="95" t="s">
        <v>143</v>
      </c>
      <c r="D17" s="2"/>
      <c r="E17" s="2"/>
      <c r="F17" s="2"/>
      <c r="G17" s="2"/>
      <c r="H17" s="2"/>
      <c r="I17" s="2"/>
      <c r="J17" s="2"/>
      <c r="K17" s="2"/>
      <c r="L17" s="2"/>
    </row>
    <row r="18" spans="1:12" ht="15.75">
      <c r="A18" s="2" t="s">
        <v>278</v>
      </c>
      <c r="B18" s="2" t="s">
        <v>255</v>
      </c>
      <c r="C18" s="2" t="s">
        <v>256</v>
      </c>
      <c r="D18" s="266" t="s">
        <v>257</v>
      </c>
      <c r="E18" s="2"/>
      <c r="F18" s="2"/>
      <c r="G18" s="2"/>
      <c r="H18" s="2"/>
      <c r="I18" s="2"/>
      <c r="J18" s="2"/>
      <c r="K18" s="2"/>
      <c r="L18" s="2"/>
    </row>
    <row r="19" spans="1:12" ht="15.75">
      <c r="A19" s="2"/>
      <c r="B19" s="304">
        <v>20</v>
      </c>
      <c r="C19" s="304">
        <v>100</v>
      </c>
      <c r="D19" s="342">
        <f>C19/B19</f>
        <v>5</v>
      </c>
      <c r="E19" s="2"/>
      <c r="F19" s="2"/>
      <c r="G19" s="2"/>
      <c r="H19" s="2"/>
      <c r="I19" s="2"/>
      <c r="J19" s="2"/>
      <c r="K19" s="2"/>
      <c r="L19" s="2"/>
    </row>
    <row r="20" spans="1:12" ht="15.75">
      <c r="A20" s="2"/>
      <c r="B20" s="54"/>
      <c r="C20" s="54"/>
      <c r="D20" s="54"/>
      <c r="E20" s="2"/>
      <c r="F20" s="2"/>
      <c r="G20" s="2"/>
      <c r="H20" s="2"/>
      <c r="I20" s="2"/>
      <c r="J20" s="2"/>
      <c r="K20" s="2"/>
      <c r="L20" s="2"/>
    </row>
    <row r="21" spans="1:12" ht="15.75">
      <c r="A21" s="2"/>
      <c r="B21" s="54" t="s">
        <v>274</v>
      </c>
      <c r="C21" s="54" t="s">
        <v>261</v>
      </c>
      <c r="D21" s="343" t="s">
        <v>262</v>
      </c>
      <c r="E21" s="2"/>
      <c r="F21" s="2"/>
      <c r="G21" s="2"/>
      <c r="H21" s="2"/>
      <c r="I21" s="2"/>
      <c r="J21" s="2"/>
      <c r="K21" s="2"/>
      <c r="L21" s="2"/>
    </row>
    <row r="22" spans="1:12" ht="15.75">
      <c r="A22" s="2"/>
      <c r="B22" s="304">
        <v>4</v>
      </c>
      <c r="C22" s="342">
        <f>D19</f>
        <v>5</v>
      </c>
      <c r="D22" s="344">
        <f>B22/C22</f>
        <v>0.8</v>
      </c>
      <c r="E22" s="2"/>
      <c r="F22" s="2"/>
      <c r="G22" s="2"/>
      <c r="H22" s="2"/>
      <c r="I22" s="2"/>
      <c r="J22" s="2"/>
      <c r="K22" s="2"/>
      <c r="L22" s="2"/>
    </row>
    <row r="23" spans="1:12" ht="15.75">
      <c r="A23" s="2"/>
      <c r="B23" s="2"/>
      <c r="C23" s="2"/>
      <c r="D23" s="2"/>
      <c r="E23" s="2"/>
      <c r="F23" s="2"/>
      <c r="G23" s="2"/>
      <c r="H23" s="2"/>
      <c r="I23" s="2"/>
      <c r="J23" s="2"/>
      <c r="K23" s="2"/>
      <c r="L23" s="2"/>
    </row>
    <row r="24" spans="1:12" ht="15.75">
      <c r="A24" s="2"/>
      <c r="B24" s="2"/>
      <c r="C24" s="2"/>
      <c r="D24" s="2"/>
      <c r="E24" s="2"/>
      <c r="F24" s="2"/>
      <c r="G24" s="2"/>
      <c r="H24" s="2"/>
      <c r="I24" s="2"/>
      <c r="J24" s="2"/>
      <c r="K24" s="2"/>
      <c r="L24" s="2"/>
    </row>
    <row r="25" spans="1:12" ht="15.75">
      <c r="A25" s="2"/>
      <c r="B25" s="2"/>
      <c r="C25" s="2"/>
      <c r="D25" s="2"/>
      <c r="E25" s="2"/>
      <c r="F25" s="2"/>
      <c r="G25" s="2"/>
      <c r="H25" s="2"/>
      <c r="I25" s="2"/>
      <c r="J25" s="2"/>
      <c r="K25" s="2"/>
      <c r="L25" s="2"/>
    </row>
    <row r="26" spans="1:12" ht="18.75">
      <c r="A26" s="754" t="s">
        <v>340</v>
      </c>
      <c r="B26" s="754"/>
      <c r="C26" s="754"/>
      <c r="D26" s="754"/>
      <c r="E26" s="754"/>
      <c r="F26" s="754"/>
      <c r="G26" s="754"/>
      <c r="H26" s="754"/>
      <c r="I26" s="754"/>
      <c r="J26" s="754"/>
      <c r="K26" s="754"/>
      <c r="L26" s="754"/>
    </row>
    <row r="27" spans="1:12" ht="15.75">
      <c r="A27" s="2"/>
      <c r="B27" s="2"/>
      <c r="C27" s="2"/>
      <c r="D27" s="2"/>
      <c r="E27" s="2"/>
      <c r="F27" s="2"/>
      <c r="G27" s="2"/>
      <c r="H27" s="2"/>
      <c r="I27" s="2"/>
      <c r="J27" s="2"/>
      <c r="K27" s="2"/>
      <c r="L27" s="2"/>
    </row>
    <row r="28" spans="1:12" ht="15.75">
      <c r="A28" s="2"/>
      <c r="B28" s="2"/>
      <c r="C28" s="2"/>
      <c r="D28" s="2"/>
      <c r="E28" s="2"/>
      <c r="F28" s="2"/>
      <c r="G28" s="2"/>
      <c r="H28" s="2"/>
      <c r="I28" s="2"/>
      <c r="J28" s="2"/>
      <c r="K28" s="2"/>
      <c r="L28" s="2"/>
    </row>
    <row r="29" spans="1:12" ht="15.75">
      <c r="A29" s="2"/>
      <c r="B29" s="2"/>
      <c r="C29" s="2"/>
      <c r="D29" s="2"/>
      <c r="E29" s="2"/>
      <c r="F29" s="2"/>
      <c r="G29" s="2"/>
      <c r="H29" s="2"/>
      <c r="I29" s="2"/>
      <c r="J29" s="2"/>
      <c r="K29" s="2"/>
      <c r="L29" s="2"/>
    </row>
    <row r="30" spans="1:12" ht="15.75">
      <c r="A30" s="110" t="s">
        <v>472</v>
      </c>
      <c r="B30" s="2"/>
      <c r="C30" s="2"/>
      <c r="D30" s="22"/>
      <c r="E30" s="2"/>
      <c r="F30" s="2"/>
      <c r="G30" s="2"/>
      <c r="H30" s="2"/>
      <c r="I30" s="2"/>
      <c r="J30" s="2"/>
      <c r="K30" s="2"/>
      <c r="L30" s="2"/>
    </row>
    <row r="31" spans="1:12" ht="15.75">
      <c r="A31" s="2" t="s">
        <v>471</v>
      </c>
      <c r="B31" s="2"/>
      <c r="C31" s="2"/>
      <c r="D31" s="22"/>
      <c r="E31" s="756" t="s">
        <v>411</v>
      </c>
      <c r="F31" s="756"/>
      <c r="G31" s="756"/>
      <c r="H31" s="756"/>
      <c r="I31" s="2"/>
      <c r="J31" s="2"/>
      <c r="K31" s="2"/>
      <c r="L31" s="2"/>
    </row>
    <row r="32" spans="1:12" ht="15.75">
      <c r="A32" s="22" t="s">
        <v>469</v>
      </c>
      <c r="B32" s="22"/>
      <c r="C32" s="22"/>
      <c r="D32" s="22"/>
      <c r="E32" s="757" t="s">
        <v>470</v>
      </c>
      <c r="F32" s="757"/>
      <c r="G32" s="757"/>
      <c r="H32" s="757"/>
      <c r="I32" s="22"/>
      <c r="J32" s="22"/>
      <c r="K32" s="22"/>
      <c r="L32" s="22"/>
    </row>
  </sheetData>
  <sheetProtection algorithmName="SHA-512" hashValue="pJk3vx9KwNp4wIUJ6N5qaGRQZN1+gxLTBwL+6eDU4nn78XuS7Gv10TUdFPw3AKWmIeXdqaFYXQi/G98OCaDQ3g==" saltValue="hDP0QLKBNH4lcMQY9BOdkg==" spinCount="100000" sheet="1" objects="1" scenarios="1"/>
  <mergeCells count="4">
    <mergeCell ref="A26:L26"/>
    <mergeCell ref="A1:L1"/>
    <mergeCell ref="E31:H31"/>
    <mergeCell ref="E32:H32"/>
  </mergeCells>
  <hyperlinks>
    <hyperlink ref="E31" r:id="rId1" xr:uid="{00000000-0004-0000-0500-000000000000}"/>
    <hyperlink ref="E32" r:id="rId2" display="E-1582 (Corn Section)" xr:uid="{00000000-0004-0000-0500-000001000000}"/>
    <hyperlink ref="E31:H31" r:id="rId3" display="Link to MSU Weed Control Guide" xr:uid="{B459EE45-FBED-462C-AC98-ED785225373C}"/>
  </hyperlinks>
  <printOptions horizontalCentered="1"/>
  <pageMargins left="0.7" right="0.7" top="0.75" bottom="0.75" header="0.3" footer="0.3"/>
  <pageSetup scale="62" orientation="landscape" verticalDpi="0"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47012-E0DE-4069-98E8-618EFC824CC1}">
  <sheetPr>
    <pageSetUpPr fitToPage="1"/>
  </sheetPr>
  <dimension ref="A1:AK213"/>
  <sheetViews>
    <sheetView zoomScale="80" zoomScaleNormal="80" workbookViewId="0">
      <selection activeCell="F24" sqref="F24"/>
    </sheetView>
  </sheetViews>
  <sheetFormatPr defaultColWidth="8.85546875" defaultRowHeight="18.75"/>
  <cols>
    <col min="1" max="1" width="27.85546875" style="356" customWidth="1"/>
    <col min="2" max="2" width="12.85546875" style="356" bestFit="1" customWidth="1"/>
    <col min="3" max="3" width="13.5703125" style="356" customWidth="1"/>
    <col min="4" max="4" width="12.85546875" style="356" bestFit="1" customWidth="1"/>
    <col min="5" max="5" width="8.85546875" style="356"/>
    <col min="6" max="6" width="12.85546875" style="356" bestFit="1" customWidth="1"/>
    <col min="7" max="7" width="13.28515625" style="356" customWidth="1"/>
    <col min="8" max="8" width="12.85546875" style="356" bestFit="1" customWidth="1"/>
    <col min="9" max="9" width="8.85546875" style="356"/>
    <col min="10" max="10" width="12.85546875" style="356" bestFit="1" customWidth="1"/>
    <col min="11" max="11" width="13.42578125" style="356" customWidth="1"/>
    <col min="12" max="12" width="12.85546875" style="356" bestFit="1" customWidth="1"/>
    <col min="13" max="15" width="8.85546875" style="356"/>
    <col min="16" max="16" width="15" style="356" bestFit="1" customWidth="1"/>
    <col min="17" max="17" width="12.85546875" style="356" bestFit="1" customWidth="1"/>
    <col min="18" max="18" width="12.7109375" style="356" bestFit="1" customWidth="1"/>
    <col min="19" max="19" width="9.42578125" style="356" customWidth="1"/>
    <col min="20" max="20" width="14.140625" style="356" customWidth="1"/>
    <col min="21" max="21" width="6" style="356" bestFit="1" customWidth="1"/>
    <col min="22" max="16384" width="8.85546875" style="356"/>
  </cols>
  <sheetData>
    <row r="1" spans="1:37" ht="19.5" thickBot="1">
      <c r="A1" s="774"/>
      <c r="B1" s="804" t="s">
        <v>654</v>
      </c>
      <c r="C1" s="805"/>
      <c r="D1" s="805"/>
      <c r="E1" s="806"/>
      <c r="F1" s="805"/>
      <c r="G1" s="805"/>
      <c r="H1" s="805"/>
      <c r="I1" s="806"/>
      <c r="J1" s="805"/>
      <c r="K1" s="805"/>
      <c r="L1" s="807"/>
      <c r="M1" s="550"/>
      <c r="N1" s="550"/>
      <c r="O1" s="550"/>
      <c r="P1" s="602" t="s">
        <v>472</v>
      </c>
      <c r="Q1" s="550"/>
      <c r="R1" s="550"/>
      <c r="S1" s="550"/>
      <c r="T1" s="550"/>
      <c r="U1" s="550"/>
      <c r="V1" s="550"/>
      <c r="W1" s="550"/>
      <c r="X1" s="186"/>
      <c r="Y1" s="550"/>
      <c r="Z1" s="550"/>
      <c r="AA1" s="550"/>
      <c r="AB1" s="550"/>
      <c r="AC1" s="550"/>
      <c r="AD1" s="550"/>
      <c r="AE1" s="550"/>
      <c r="AF1" s="550"/>
      <c r="AG1" s="550"/>
      <c r="AH1" s="550"/>
      <c r="AI1" s="550"/>
      <c r="AJ1" s="550"/>
      <c r="AK1" s="550"/>
    </row>
    <row r="2" spans="1:37" ht="19.5" thickBot="1">
      <c r="A2" s="774"/>
      <c r="B2" s="808" t="s">
        <v>558</v>
      </c>
      <c r="C2" s="809"/>
      <c r="D2" s="810"/>
      <c r="F2" s="808" t="s">
        <v>650</v>
      </c>
      <c r="G2" s="809"/>
      <c r="H2" s="810"/>
      <c r="J2" s="808" t="s">
        <v>594</v>
      </c>
      <c r="K2" s="809"/>
      <c r="L2" s="810"/>
      <c r="M2" s="550"/>
      <c r="N2" s="550"/>
      <c r="O2" s="550"/>
      <c r="P2" s="550" t="s">
        <v>474</v>
      </c>
      <c r="Q2" s="550"/>
      <c r="R2" s="550"/>
      <c r="S2" s="550"/>
      <c r="T2" s="550"/>
      <c r="U2" s="550"/>
      <c r="V2" s="550"/>
      <c r="W2" s="550"/>
      <c r="X2" s="186"/>
      <c r="Y2" s="550"/>
      <c r="Z2" s="550"/>
      <c r="AA2" s="550"/>
      <c r="AB2" s="550"/>
      <c r="AC2" s="550"/>
      <c r="AD2" s="550"/>
      <c r="AE2" s="550"/>
      <c r="AF2" s="550"/>
      <c r="AG2" s="550"/>
      <c r="AH2" s="550"/>
      <c r="AI2" s="550"/>
      <c r="AJ2" s="550"/>
      <c r="AK2" s="550"/>
    </row>
    <row r="3" spans="1:37">
      <c r="A3" s="775"/>
      <c r="B3" s="559"/>
      <c r="C3" s="558"/>
      <c r="D3" s="557"/>
      <c r="E3" s="558"/>
      <c r="F3" s="559"/>
      <c r="G3" s="558"/>
      <c r="H3" s="557"/>
      <c r="I3" s="558"/>
      <c r="J3" s="559"/>
      <c r="K3" s="558"/>
      <c r="L3" s="557"/>
      <c r="M3" s="550"/>
      <c r="N3" s="550"/>
      <c r="O3" s="550"/>
      <c r="P3" s="811" t="s">
        <v>475</v>
      </c>
      <c r="Q3" s="811"/>
      <c r="R3" s="811"/>
      <c r="S3" s="811"/>
      <c r="T3" s="811"/>
      <c r="U3" s="811"/>
      <c r="V3" s="811"/>
      <c r="W3" s="811"/>
      <c r="X3" s="621"/>
      <c r="Y3" s="550"/>
      <c r="Z3" s="550"/>
      <c r="AA3" s="550"/>
      <c r="AB3" s="550"/>
      <c r="AC3" s="550"/>
      <c r="AD3" s="550"/>
      <c r="AE3" s="550"/>
      <c r="AF3" s="550"/>
      <c r="AG3" s="550"/>
      <c r="AH3" s="550"/>
      <c r="AI3" s="550"/>
      <c r="AJ3" s="550"/>
      <c r="AK3" s="550"/>
    </row>
    <row r="4" spans="1:37">
      <c r="A4" s="622" t="s">
        <v>789</v>
      </c>
      <c r="B4" s="812" t="s">
        <v>788</v>
      </c>
      <c r="C4" s="813"/>
      <c r="D4" s="813"/>
      <c r="E4" s="813"/>
      <c r="F4" s="813"/>
      <c r="G4" s="813"/>
      <c r="H4" s="813"/>
      <c r="I4" s="813"/>
      <c r="J4" s="813"/>
      <c r="K4" s="813"/>
      <c r="L4" s="814"/>
      <c r="M4" s="550"/>
      <c r="N4" s="550"/>
      <c r="O4" s="550"/>
      <c r="P4" s="601" t="s">
        <v>787</v>
      </c>
      <c r="Q4" s="615"/>
      <c r="R4" s="615"/>
      <c r="S4" s="615"/>
      <c r="T4" s="615"/>
      <c r="U4" s="615"/>
      <c r="V4" s="615"/>
      <c r="W4" s="615"/>
      <c r="X4" s="621"/>
      <c r="Y4" s="550"/>
      <c r="Z4" s="550"/>
      <c r="AA4" s="550"/>
      <c r="AB4" s="550"/>
      <c r="AC4" s="550"/>
      <c r="AD4" s="550"/>
      <c r="AE4" s="550"/>
      <c r="AF4" s="550"/>
      <c r="AG4" s="550"/>
      <c r="AH4" s="550"/>
      <c r="AI4" s="550"/>
      <c r="AJ4" s="550"/>
      <c r="AK4" s="550"/>
    </row>
    <row r="5" spans="1:37">
      <c r="A5" s="773"/>
      <c r="B5" s="561"/>
      <c r="C5" s="587"/>
      <c r="D5" s="575"/>
      <c r="E5" s="550"/>
      <c r="F5" s="561"/>
      <c r="G5" s="587"/>
      <c r="H5" s="575"/>
      <c r="I5" s="550"/>
      <c r="J5" s="561"/>
      <c r="K5" s="587"/>
      <c r="L5" s="575"/>
      <c r="M5" s="550"/>
      <c r="N5" s="550"/>
      <c r="O5" s="550"/>
      <c r="P5" s="550"/>
      <c r="Q5" s="550"/>
      <c r="R5" s="550"/>
      <c r="S5" s="550"/>
      <c r="T5" s="550"/>
      <c r="U5" s="550"/>
      <c r="V5" s="550"/>
      <c r="W5" s="550"/>
      <c r="X5" s="550"/>
      <c r="Y5" s="550"/>
      <c r="Z5" s="550"/>
      <c r="AA5" s="550"/>
      <c r="AB5" s="550"/>
      <c r="AC5" s="550"/>
      <c r="AD5" s="550"/>
      <c r="AE5" s="550"/>
      <c r="AF5" s="550"/>
      <c r="AG5" s="550"/>
      <c r="AH5" s="550"/>
      <c r="AI5" s="550"/>
      <c r="AJ5" s="550"/>
      <c r="AK5" s="550"/>
    </row>
    <row r="6" spans="1:37">
      <c r="A6" s="774"/>
      <c r="B6" s="619"/>
      <c r="C6" s="620">
        <f>'Crop Budget (Main)'!C10</f>
        <v>0</v>
      </c>
      <c r="D6" s="575"/>
      <c r="E6" s="550"/>
      <c r="F6" s="619"/>
      <c r="G6" s="618">
        <f>'Crop Budget (Main)'!G10</f>
        <v>0</v>
      </c>
      <c r="H6" s="575"/>
      <c r="I6" s="550"/>
      <c r="J6" s="619"/>
      <c r="K6" s="618">
        <f>'Crop Budget (Main)'!K10</f>
        <v>0</v>
      </c>
      <c r="L6" s="575"/>
      <c r="M6" s="550"/>
      <c r="N6" s="550"/>
      <c r="O6" s="550"/>
      <c r="P6" s="616" t="s">
        <v>786</v>
      </c>
      <c r="Q6" s="550"/>
      <c r="R6" s="550"/>
      <c r="S6" s="550"/>
      <c r="T6" s="550"/>
      <c r="U6" s="550"/>
      <c r="V6" s="550"/>
      <c r="W6" s="550"/>
      <c r="X6" s="550"/>
      <c r="Y6" s="550"/>
      <c r="Z6" s="550"/>
      <c r="AA6" s="550"/>
      <c r="AB6" s="550"/>
      <c r="AC6" s="550"/>
      <c r="AD6" s="550"/>
      <c r="AE6" s="550"/>
      <c r="AF6" s="550"/>
      <c r="AG6" s="550"/>
      <c r="AH6" s="550"/>
      <c r="AI6" s="550"/>
      <c r="AJ6" s="550"/>
      <c r="AK6" s="550"/>
    </row>
    <row r="7" spans="1:37">
      <c r="A7" s="775"/>
      <c r="B7" s="561"/>
      <c r="C7" s="617" t="s">
        <v>785</v>
      </c>
      <c r="D7" s="575"/>
      <c r="E7" s="550"/>
      <c r="F7" s="561"/>
      <c r="G7" s="617" t="s">
        <v>785</v>
      </c>
      <c r="H7" s="575"/>
      <c r="I7" s="550"/>
      <c r="J7" s="561"/>
      <c r="K7" s="617" t="s">
        <v>785</v>
      </c>
      <c r="L7" s="575"/>
      <c r="M7" s="550"/>
      <c r="N7" s="550"/>
      <c r="O7" s="550"/>
      <c r="P7" s="615" t="s">
        <v>784</v>
      </c>
      <c r="Q7" s="550"/>
      <c r="R7" s="550"/>
      <c r="S7" s="550"/>
      <c r="T7" s="550"/>
      <c r="U7" s="550"/>
      <c r="V7" s="550"/>
      <c r="W7" s="550"/>
      <c r="X7" s="550"/>
      <c r="Y7" s="550"/>
      <c r="Z7" s="550"/>
      <c r="AA7" s="550"/>
      <c r="AB7" s="550"/>
      <c r="AC7" s="550"/>
      <c r="AD7" s="550"/>
      <c r="AE7" s="550"/>
      <c r="AF7" s="550"/>
      <c r="AG7" s="550"/>
      <c r="AH7" s="550"/>
      <c r="AI7" s="550"/>
      <c r="AJ7" s="550"/>
      <c r="AK7" s="550"/>
    </row>
    <row r="8" spans="1:37">
      <c r="A8" s="510" t="s">
        <v>783</v>
      </c>
      <c r="B8" s="815" t="s">
        <v>782</v>
      </c>
      <c r="C8" s="816"/>
      <c r="D8" s="816"/>
      <c r="E8" s="816"/>
      <c r="F8" s="816"/>
      <c r="G8" s="816"/>
      <c r="H8" s="816"/>
      <c r="I8" s="816"/>
      <c r="J8" s="816"/>
      <c r="K8" s="816"/>
      <c r="L8" s="817"/>
      <c r="M8" s="550"/>
      <c r="N8" s="550"/>
      <c r="O8" s="550"/>
      <c r="P8" s="616" t="s">
        <v>781</v>
      </c>
      <c r="Q8" s="550"/>
      <c r="R8" s="550"/>
      <c r="S8" s="550"/>
      <c r="T8" s="550"/>
      <c r="U8" s="550"/>
      <c r="V8" s="550"/>
      <c r="W8" s="550"/>
      <c r="X8" s="550"/>
      <c r="Y8" s="550"/>
      <c r="Z8" s="550"/>
      <c r="AA8" s="550"/>
      <c r="AB8" s="550"/>
      <c r="AC8" s="550"/>
      <c r="AD8" s="550"/>
      <c r="AE8" s="550"/>
      <c r="AF8" s="550"/>
      <c r="AG8" s="550"/>
      <c r="AH8" s="550"/>
      <c r="AI8" s="550"/>
      <c r="AJ8" s="550"/>
      <c r="AK8" s="550"/>
    </row>
    <row r="9" spans="1:37">
      <c r="A9" s="773"/>
      <c r="B9" s="762" t="s">
        <v>780</v>
      </c>
      <c r="C9" s="763"/>
      <c r="D9" s="763"/>
      <c r="E9" s="763"/>
      <c r="F9" s="763"/>
      <c r="G9" s="763"/>
      <c r="H9" s="763"/>
      <c r="I9" s="763"/>
      <c r="J9" s="763"/>
      <c r="K9" s="763"/>
      <c r="L9" s="764"/>
      <c r="M9" s="550"/>
      <c r="N9" s="550"/>
      <c r="O9" s="550"/>
      <c r="P9" s="615" t="s">
        <v>779</v>
      </c>
      <c r="Q9" s="550"/>
      <c r="R9" s="550"/>
      <c r="S9" s="550"/>
      <c r="T9" s="550"/>
      <c r="U9" s="550"/>
      <c r="V9" s="550"/>
      <c r="W9" s="550"/>
      <c r="X9" s="550"/>
      <c r="Y9" s="550"/>
      <c r="Z9" s="550"/>
      <c r="AA9" s="550"/>
      <c r="AB9" s="550"/>
      <c r="AC9" s="550"/>
      <c r="AD9" s="550"/>
      <c r="AE9" s="550"/>
      <c r="AF9" s="550"/>
      <c r="AG9" s="550"/>
      <c r="AH9" s="550"/>
      <c r="AI9" s="550"/>
      <c r="AJ9" s="550"/>
      <c r="AK9" s="550"/>
    </row>
    <row r="10" spans="1:37" ht="19.5" thickBot="1">
      <c r="A10" s="774"/>
      <c r="B10" s="588" t="s">
        <v>143</v>
      </c>
      <c r="C10" s="587" t="s">
        <v>143</v>
      </c>
      <c r="D10" s="586" t="s">
        <v>143</v>
      </c>
      <c r="E10" s="550"/>
      <c r="F10" s="588" t="s">
        <v>143</v>
      </c>
      <c r="G10" s="587" t="s">
        <v>143</v>
      </c>
      <c r="H10" s="586" t="s">
        <v>143</v>
      </c>
      <c r="I10" s="550"/>
      <c r="J10" s="588" t="s">
        <v>143</v>
      </c>
      <c r="K10" s="587" t="s">
        <v>143</v>
      </c>
      <c r="L10" s="586" t="s">
        <v>143</v>
      </c>
      <c r="M10" s="550"/>
      <c r="N10" s="550"/>
      <c r="O10" s="550"/>
      <c r="P10" s="550"/>
      <c r="Q10" s="550"/>
      <c r="R10" s="550"/>
      <c r="S10" s="550"/>
      <c r="T10" s="550"/>
      <c r="U10" s="550"/>
      <c r="V10" s="550"/>
      <c r="W10" s="550"/>
      <c r="X10" s="550"/>
      <c r="Y10" s="550"/>
      <c r="Z10" s="550"/>
      <c r="AA10" s="550"/>
      <c r="AB10" s="550"/>
      <c r="AC10" s="550"/>
      <c r="AD10" s="550"/>
      <c r="AE10" s="550"/>
      <c r="AF10" s="550"/>
      <c r="AG10" s="550"/>
      <c r="AH10" s="550"/>
      <c r="AI10" s="550"/>
      <c r="AJ10" s="550"/>
      <c r="AK10" s="550"/>
    </row>
    <row r="11" spans="1:37" ht="19.5" thickBot="1">
      <c r="A11" s="774"/>
      <c r="B11" s="510" t="s">
        <v>112</v>
      </c>
      <c r="C11" s="510" t="s">
        <v>113</v>
      </c>
      <c r="D11" s="510" t="s">
        <v>114</v>
      </c>
      <c r="E11" s="560"/>
      <c r="F11" s="510" t="s">
        <v>112</v>
      </c>
      <c r="G11" s="510" t="s">
        <v>113</v>
      </c>
      <c r="H11" s="510" t="s">
        <v>114</v>
      </c>
      <c r="I11" s="579"/>
      <c r="J11" s="510" t="s">
        <v>112</v>
      </c>
      <c r="K11" s="510" t="s">
        <v>113</v>
      </c>
      <c r="L11" s="510" t="s">
        <v>114</v>
      </c>
      <c r="M11" s="550"/>
      <c r="N11" s="550"/>
      <c r="O11" s="550"/>
      <c r="P11" s="818" t="s">
        <v>778</v>
      </c>
      <c r="Q11" s="819"/>
      <c r="R11" s="819"/>
      <c r="S11" s="820"/>
      <c r="T11" s="550"/>
      <c r="U11" s="550"/>
      <c r="V11" s="550"/>
      <c r="W11" s="550"/>
      <c r="X11" s="550"/>
      <c r="Y11" s="550"/>
      <c r="Z11" s="550"/>
      <c r="AA11" s="550"/>
      <c r="AB11" s="550"/>
      <c r="AC11" s="550"/>
      <c r="AD11" s="550"/>
      <c r="AE11" s="550"/>
      <c r="AF11" s="550"/>
      <c r="AG11" s="550"/>
      <c r="AH11" s="550"/>
      <c r="AI11" s="550"/>
      <c r="AJ11" s="550"/>
      <c r="AK11" s="550"/>
    </row>
    <row r="12" spans="1:37">
      <c r="A12" s="774"/>
      <c r="B12" s="511">
        <v>0</v>
      </c>
      <c r="C12" s="511">
        <v>0</v>
      </c>
      <c r="D12" s="511">
        <v>0</v>
      </c>
      <c r="E12" s="560"/>
      <c r="F12" s="511">
        <v>0</v>
      </c>
      <c r="G12" s="511">
        <v>0</v>
      </c>
      <c r="H12" s="511">
        <v>0</v>
      </c>
      <c r="I12" s="579"/>
      <c r="J12" s="511">
        <v>0</v>
      </c>
      <c r="K12" s="511">
        <v>0</v>
      </c>
      <c r="L12" s="511">
        <v>0</v>
      </c>
      <c r="M12" s="550"/>
      <c r="N12" s="550"/>
      <c r="O12" s="550"/>
      <c r="P12" s="614" t="s">
        <v>143</v>
      </c>
      <c r="Q12" s="550"/>
      <c r="R12" s="550"/>
      <c r="S12" s="613"/>
      <c r="T12" s="550"/>
      <c r="U12" s="550"/>
      <c r="V12" s="550"/>
      <c r="W12" s="550"/>
      <c r="X12" s="550"/>
      <c r="Y12" s="550"/>
      <c r="Z12" s="550"/>
      <c r="AA12" s="550"/>
      <c r="AB12" s="550"/>
      <c r="AC12" s="550"/>
      <c r="AD12" s="550"/>
      <c r="AE12" s="550"/>
      <c r="AF12" s="550"/>
      <c r="AG12" s="550"/>
      <c r="AH12" s="550"/>
      <c r="AI12" s="550"/>
      <c r="AJ12" s="550"/>
      <c r="AK12" s="550"/>
    </row>
    <row r="13" spans="1:37">
      <c r="A13" s="774"/>
      <c r="B13" s="510" t="s">
        <v>115</v>
      </c>
      <c r="C13" s="510" t="s">
        <v>116</v>
      </c>
      <c r="D13" s="510" t="s">
        <v>252</v>
      </c>
      <c r="E13" s="560"/>
      <c r="F13" s="510" t="s">
        <v>115</v>
      </c>
      <c r="G13" s="510" t="s">
        <v>116</v>
      </c>
      <c r="H13" s="510" t="s">
        <v>252</v>
      </c>
      <c r="I13" s="579"/>
      <c r="J13" s="510" t="s">
        <v>115</v>
      </c>
      <c r="K13" s="510" t="s">
        <v>116</v>
      </c>
      <c r="L13" s="510" t="s">
        <v>252</v>
      </c>
      <c r="M13" s="550"/>
      <c r="N13" s="571" t="s">
        <v>363</v>
      </c>
      <c r="O13" s="571"/>
      <c r="P13" s="612" t="s">
        <v>777</v>
      </c>
      <c r="Q13" s="582"/>
      <c r="R13" s="821" t="s">
        <v>776</v>
      </c>
      <c r="S13" s="822"/>
      <c r="T13" s="550"/>
      <c r="U13" s="550"/>
      <c r="V13" s="550"/>
      <c r="W13" s="550"/>
      <c r="X13" s="550"/>
      <c r="Y13" s="550"/>
      <c r="Z13" s="550"/>
      <c r="AA13" s="550"/>
      <c r="AB13" s="550"/>
      <c r="AC13" s="550"/>
      <c r="AD13" s="550"/>
      <c r="AE13" s="550"/>
      <c r="AF13" s="550"/>
      <c r="AG13" s="550"/>
      <c r="AH13" s="550"/>
      <c r="AI13" s="550"/>
      <c r="AJ13" s="550"/>
      <c r="AK13" s="550"/>
    </row>
    <row r="14" spans="1:37" ht="19.5" thickBot="1">
      <c r="A14" s="774"/>
      <c r="B14" s="511">
        <v>0</v>
      </c>
      <c r="C14" s="511">
        <v>0</v>
      </c>
      <c r="D14" s="511">
        <v>0</v>
      </c>
      <c r="E14" s="560"/>
      <c r="F14" s="511">
        <v>0</v>
      </c>
      <c r="G14" s="511">
        <v>0</v>
      </c>
      <c r="H14" s="511">
        <v>0</v>
      </c>
      <c r="I14" s="579"/>
      <c r="J14" s="511">
        <v>0</v>
      </c>
      <c r="K14" s="511">
        <v>0</v>
      </c>
      <c r="L14" s="511">
        <v>0</v>
      </c>
      <c r="M14" s="550"/>
      <c r="N14" s="571" t="s">
        <v>364</v>
      </c>
      <c r="O14" s="571"/>
      <c r="P14" s="611">
        <v>0</v>
      </c>
      <c r="Q14" s="610" t="s">
        <v>775</v>
      </c>
      <c r="R14" s="823">
        <f>P14*2</f>
        <v>0</v>
      </c>
      <c r="S14" s="824"/>
      <c r="T14" s="550"/>
      <c r="U14" s="550"/>
      <c r="V14" s="550"/>
      <c r="W14" s="550"/>
      <c r="X14" s="550"/>
      <c r="Y14" s="550"/>
      <c r="Z14" s="550"/>
      <c r="AA14" s="550"/>
      <c r="AB14" s="550"/>
      <c r="AC14" s="550"/>
      <c r="AD14" s="550"/>
      <c r="AE14" s="550"/>
      <c r="AF14" s="550"/>
      <c r="AG14" s="550"/>
      <c r="AH14" s="550"/>
      <c r="AI14" s="550"/>
      <c r="AJ14" s="550"/>
      <c r="AK14" s="550"/>
    </row>
    <row r="15" spans="1:37" ht="18.75" customHeight="1" thickBot="1">
      <c r="A15" s="774"/>
      <c r="B15" s="510" t="s">
        <v>118</v>
      </c>
      <c r="C15" s="510" t="s">
        <v>119</v>
      </c>
      <c r="D15" s="510" t="s">
        <v>120</v>
      </c>
      <c r="E15" s="560"/>
      <c r="F15" s="510" t="s">
        <v>118</v>
      </c>
      <c r="G15" s="510" t="s">
        <v>119</v>
      </c>
      <c r="H15" s="510" t="s">
        <v>120</v>
      </c>
      <c r="I15" s="579"/>
      <c r="J15" s="510" t="s">
        <v>118</v>
      </c>
      <c r="K15" s="510" t="s">
        <v>119</v>
      </c>
      <c r="L15" s="510" t="s">
        <v>120</v>
      </c>
      <c r="M15" s="550"/>
      <c r="N15" s="783" t="s">
        <v>362</v>
      </c>
      <c r="O15" s="597"/>
      <c r="P15" s="609"/>
      <c r="Q15" s="608"/>
      <c r="R15" s="608"/>
      <c r="S15" s="607"/>
      <c r="T15" s="550"/>
      <c r="U15" s="550"/>
      <c r="V15" s="550"/>
      <c r="W15" s="550"/>
      <c r="X15" s="550"/>
      <c r="Y15" s="550"/>
      <c r="Z15" s="550"/>
      <c r="AA15" s="550"/>
      <c r="AB15" s="550"/>
      <c r="AC15" s="550"/>
      <c r="AD15" s="550"/>
      <c r="AE15" s="550"/>
      <c r="AF15" s="550"/>
      <c r="AG15" s="550"/>
      <c r="AH15" s="550"/>
      <c r="AI15" s="550"/>
      <c r="AJ15" s="550"/>
      <c r="AK15" s="550"/>
    </row>
    <row r="16" spans="1:37" ht="18.75" customHeight="1">
      <c r="A16" s="774"/>
      <c r="B16" s="511">
        <v>0</v>
      </c>
      <c r="C16" s="511">
        <v>0</v>
      </c>
      <c r="D16" s="511">
        <v>0</v>
      </c>
      <c r="E16" s="556"/>
      <c r="F16" s="511">
        <v>0</v>
      </c>
      <c r="G16" s="511">
        <v>0</v>
      </c>
      <c r="H16" s="511">
        <v>0</v>
      </c>
      <c r="I16" s="604"/>
      <c r="J16" s="511">
        <v>0</v>
      </c>
      <c r="K16" s="511">
        <v>0</v>
      </c>
      <c r="L16" s="511">
        <v>0</v>
      </c>
      <c r="M16" s="550"/>
      <c r="N16" s="783"/>
      <c r="O16" s="597"/>
      <c r="P16" s="550"/>
      <c r="Q16" s="550"/>
      <c r="R16" s="550"/>
      <c r="S16" s="550"/>
      <c r="T16" s="550"/>
      <c r="U16" s="550"/>
      <c r="V16" s="550"/>
      <c r="W16" s="550"/>
      <c r="X16" s="550"/>
      <c r="Y16" s="550"/>
      <c r="Z16" s="550"/>
      <c r="AA16" s="550"/>
      <c r="AB16" s="550"/>
      <c r="AC16" s="550"/>
      <c r="AD16" s="550"/>
      <c r="AE16" s="550"/>
      <c r="AF16" s="550"/>
      <c r="AG16" s="550"/>
      <c r="AH16" s="550"/>
      <c r="AI16" s="550"/>
      <c r="AJ16" s="550"/>
      <c r="AK16" s="550"/>
    </row>
    <row r="17" spans="1:37">
      <c r="A17" s="774"/>
      <c r="B17" s="603" t="s">
        <v>769</v>
      </c>
      <c r="C17" s="603" t="s">
        <v>769</v>
      </c>
      <c r="D17" s="603" t="s">
        <v>769</v>
      </c>
      <c r="E17" s="556"/>
      <c r="F17" s="603" t="s">
        <v>769</v>
      </c>
      <c r="G17" s="603" t="s">
        <v>769</v>
      </c>
      <c r="H17" s="603" t="s">
        <v>769</v>
      </c>
      <c r="I17" s="604"/>
      <c r="J17" s="603" t="s">
        <v>769</v>
      </c>
      <c r="K17" s="603" t="s">
        <v>769</v>
      </c>
      <c r="L17" s="603" t="s">
        <v>769</v>
      </c>
      <c r="M17" s="550"/>
      <c r="N17" s="783" t="s">
        <v>362</v>
      </c>
      <c r="O17" s="597"/>
      <c r="P17" s="550"/>
      <c r="Q17" s="550"/>
      <c r="R17" s="550"/>
      <c r="S17" s="550"/>
      <c r="T17" s="550"/>
      <c r="U17" s="550"/>
      <c r="V17" s="550"/>
      <c r="W17" s="550"/>
      <c r="X17" s="550"/>
      <c r="Y17" s="550"/>
      <c r="Z17" s="550"/>
      <c r="AA17" s="550"/>
      <c r="AB17" s="550"/>
      <c r="AC17" s="550"/>
      <c r="AD17" s="550"/>
      <c r="AE17" s="550"/>
      <c r="AF17" s="550"/>
      <c r="AG17" s="550"/>
      <c r="AH17" s="550"/>
      <c r="AI17" s="550"/>
      <c r="AJ17" s="550"/>
      <c r="AK17" s="550"/>
    </row>
    <row r="18" spans="1:37" ht="19.5" thickBot="1">
      <c r="A18" s="775"/>
      <c r="B18" s="561"/>
      <c r="C18" s="550"/>
      <c r="D18" s="575"/>
      <c r="E18" s="550"/>
      <c r="F18" s="561"/>
      <c r="G18" s="550"/>
      <c r="H18" s="575"/>
      <c r="I18" s="550"/>
      <c r="J18" s="561"/>
      <c r="K18" s="550"/>
      <c r="L18" s="575"/>
      <c r="M18" s="550"/>
      <c r="N18" s="783"/>
      <c r="O18" s="550"/>
      <c r="P18" s="550"/>
      <c r="Q18" s="550"/>
      <c r="R18" s="550"/>
      <c r="S18" s="550"/>
      <c r="T18" s="550"/>
      <c r="U18" s="550"/>
      <c r="V18" s="550"/>
      <c r="W18" s="550"/>
      <c r="X18" s="550"/>
      <c r="Y18" s="550"/>
      <c r="Z18" s="550"/>
      <c r="AA18" s="550"/>
      <c r="AB18" s="550"/>
      <c r="AC18" s="550"/>
      <c r="AD18" s="550"/>
      <c r="AE18" s="550"/>
      <c r="AF18" s="550"/>
      <c r="AG18" s="550"/>
      <c r="AH18" s="550"/>
      <c r="AI18" s="550"/>
      <c r="AJ18" s="550"/>
      <c r="AK18" s="550"/>
    </row>
    <row r="19" spans="1:37">
      <c r="A19" s="606" t="s">
        <v>774</v>
      </c>
      <c r="B19" s="798" t="s">
        <v>721</v>
      </c>
      <c r="C19" s="799"/>
      <c r="D19" s="799"/>
      <c r="E19" s="799"/>
      <c r="F19" s="799"/>
      <c r="G19" s="799"/>
      <c r="H19" s="799"/>
      <c r="I19" s="799"/>
      <c r="J19" s="799"/>
      <c r="K19" s="799"/>
      <c r="L19" s="800"/>
      <c r="M19" s="550"/>
      <c r="N19" s="550"/>
      <c r="O19" s="550"/>
      <c r="P19" s="787" t="s">
        <v>807</v>
      </c>
      <c r="Q19" s="788"/>
      <c r="R19" s="789"/>
      <c r="S19" s="550"/>
      <c r="T19" s="550"/>
      <c r="U19" s="550"/>
      <c r="V19" s="550"/>
      <c r="W19" s="550"/>
      <c r="X19" s="550"/>
      <c r="Y19" s="550"/>
      <c r="Z19" s="550"/>
      <c r="AA19" s="550"/>
      <c r="AB19" s="550"/>
      <c r="AC19" s="550"/>
      <c r="AD19" s="550"/>
      <c r="AE19" s="550"/>
      <c r="AF19" s="550"/>
      <c r="AG19" s="550"/>
      <c r="AH19" s="550"/>
      <c r="AI19" s="550"/>
      <c r="AJ19" s="550"/>
      <c r="AK19" s="550"/>
    </row>
    <row r="20" spans="1:37" ht="18.75" customHeight="1" thickBot="1">
      <c r="A20" s="773"/>
      <c r="B20" s="762" t="s">
        <v>772</v>
      </c>
      <c r="C20" s="763"/>
      <c r="D20" s="763"/>
      <c r="E20" s="763"/>
      <c r="F20" s="763"/>
      <c r="G20" s="763"/>
      <c r="H20" s="763"/>
      <c r="I20" s="763"/>
      <c r="J20" s="763"/>
      <c r="K20" s="763"/>
      <c r="L20" s="764"/>
      <c r="M20" s="550"/>
      <c r="N20" s="550"/>
      <c r="O20" s="550"/>
      <c r="P20" s="790" t="s">
        <v>808</v>
      </c>
      <c r="Q20" s="791"/>
      <c r="R20" s="792"/>
      <c r="S20" s="550"/>
      <c r="T20" s="550"/>
      <c r="U20" s="550"/>
      <c r="V20" s="550"/>
      <c r="W20" s="550"/>
      <c r="X20" s="550"/>
      <c r="Y20" s="550"/>
      <c r="Z20" s="550"/>
      <c r="AA20" s="550"/>
      <c r="AB20" s="550"/>
      <c r="AC20" s="550"/>
      <c r="AD20" s="550"/>
      <c r="AE20" s="550"/>
      <c r="AF20" s="550"/>
      <c r="AG20" s="550"/>
      <c r="AH20" s="550"/>
      <c r="AI20" s="550"/>
      <c r="AJ20" s="550"/>
      <c r="AK20" s="550"/>
    </row>
    <row r="21" spans="1:37" ht="18.75" customHeight="1">
      <c r="A21" s="774"/>
      <c r="B21" s="561"/>
      <c r="C21" s="550"/>
      <c r="D21" s="575"/>
      <c r="E21" s="550"/>
      <c r="F21" s="561"/>
      <c r="G21" s="550"/>
      <c r="H21" s="575"/>
      <c r="I21" s="550"/>
      <c r="J21" s="561"/>
      <c r="K21" s="550"/>
      <c r="L21" s="575"/>
      <c r="M21" s="550"/>
      <c r="N21" s="550"/>
      <c r="O21" s="550"/>
      <c r="P21" s="648"/>
      <c r="Q21" s="649" t="s">
        <v>143</v>
      </c>
      <c r="R21" s="650"/>
      <c r="S21" s="550"/>
      <c r="T21" s="550"/>
      <c r="U21" s="550"/>
      <c r="V21" s="550"/>
      <c r="W21" s="550"/>
      <c r="X21" s="550"/>
      <c r="Y21" s="550"/>
      <c r="Z21" s="550"/>
      <c r="AA21" s="550"/>
      <c r="AB21" s="550"/>
      <c r="AC21" s="550"/>
      <c r="AD21" s="550"/>
      <c r="AE21" s="550"/>
      <c r="AF21" s="550"/>
      <c r="AG21" s="550"/>
      <c r="AH21" s="550"/>
      <c r="AI21" s="550"/>
      <c r="AJ21" s="550"/>
      <c r="AK21" s="550"/>
    </row>
    <row r="22" spans="1:37">
      <c r="A22" s="774"/>
      <c r="B22" s="606" t="s">
        <v>112</v>
      </c>
      <c r="C22" s="606" t="s">
        <v>113</v>
      </c>
      <c r="D22" s="606" t="s">
        <v>114</v>
      </c>
      <c r="E22" s="563"/>
      <c r="F22" s="606" t="s">
        <v>112</v>
      </c>
      <c r="G22" s="606" t="s">
        <v>113</v>
      </c>
      <c r="H22" s="606" t="s">
        <v>114</v>
      </c>
      <c r="I22" s="563"/>
      <c r="J22" s="606" t="s">
        <v>112</v>
      </c>
      <c r="K22" s="606" t="s">
        <v>113</v>
      </c>
      <c r="L22" s="606" t="s">
        <v>114</v>
      </c>
      <c r="M22" s="550"/>
      <c r="N22" s="550"/>
      <c r="O22" s="550"/>
      <c r="P22" s="612" t="s">
        <v>558</v>
      </c>
      <c r="Q22" s="651">
        <v>0.65</v>
      </c>
      <c r="R22" s="613"/>
      <c r="S22" s="550"/>
      <c r="T22" s="550"/>
      <c r="U22" s="550"/>
      <c r="V22" s="550"/>
      <c r="W22" s="550"/>
      <c r="X22" s="550"/>
      <c r="Y22" s="550"/>
      <c r="Z22" s="550"/>
      <c r="AA22" s="550"/>
      <c r="AB22" s="550"/>
      <c r="AC22" s="550"/>
      <c r="AD22" s="550"/>
      <c r="AE22" s="550"/>
      <c r="AF22" s="550"/>
      <c r="AG22" s="550"/>
      <c r="AH22" s="550"/>
      <c r="AI22" s="550"/>
      <c r="AJ22" s="550"/>
      <c r="AK22" s="550"/>
    </row>
    <row r="23" spans="1:37" ht="19.5" thickBot="1">
      <c r="A23" s="774"/>
      <c r="B23" s="492"/>
      <c r="C23" s="492">
        <f>C6*13</f>
        <v>0</v>
      </c>
      <c r="D23" s="492">
        <f>C6*50</f>
        <v>0</v>
      </c>
      <c r="E23" s="646"/>
      <c r="F23" s="647">
        <f>G6*((45*Q22)+(45*Q23))</f>
        <v>0</v>
      </c>
      <c r="G23" s="492">
        <f>((G6*13)*Q22)+((G6*17)*Q23)</f>
        <v>0</v>
      </c>
      <c r="H23" s="492">
        <f>((G6*50)*Q22)+((G6*62)*Q23)</f>
        <v>0</v>
      </c>
      <c r="I23" s="646"/>
      <c r="J23" s="492">
        <f>K6*45</f>
        <v>0</v>
      </c>
      <c r="K23" s="492">
        <f>K6*17</f>
        <v>0</v>
      </c>
      <c r="L23" s="492">
        <f>K6*62</f>
        <v>0</v>
      </c>
      <c r="M23" s="550"/>
      <c r="N23" s="550"/>
      <c r="O23" s="550"/>
      <c r="P23" s="652" t="s">
        <v>594</v>
      </c>
      <c r="Q23" s="653">
        <v>0.35</v>
      </c>
      <c r="R23" s="607"/>
      <c r="S23" s="550"/>
      <c r="T23" s="550"/>
      <c r="U23" s="550"/>
      <c r="V23" s="550"/>
      <c r="W23" s="550"/>
      <c r="X23" s="550"/>
      <c r="Y23" s="550"/>
      <c r="Z23" s="550"/>
      <c r="AA23" s="550"/>
      <c r="AB23" s="550"/>
      <c r="AC23" s="550"/>
      <c r="AD23" s="550"/>
      <c r="AE23" s="550"/>
      <c r="AF23" s="550"/>
      <c r="AG23" s="550"/>
      <c r="AH23" s="550"/>
      <c r="AI23" s="550"/>
      <c r="AJ23" s="550"/>
      <c r="AK23" s="550"/>
    </row>
    <row r="24" spans="1:37">
      <c r="A24" s="774"/>
      <c r="B24" s="606" t="s">
        <v>115</v>
      </c>
      <c r="C24" s="606" t="s">
        <v>116</v>
      </c>
      <c r="D24" s="606" t="s">
        <v>252</v>
      </c>
      <c r="E24" s="493"/>
      <c r="F24" s="606" t="s">
        <v>115</v>
      </c>
      <c r="G24" s="606" t="s">
        <v>116</v>
      </c>
      <c r="H24" s="606" t="s">
        <v>252</v>
      </c>
      <c r="I24" s="493"/>
      <c r="J24" s="606" t="s">
        <v>115</v>
      </c>
      <c r="K24" s="606" t="s">
        <v>116</v>
      </c>
      <c r="L24" s="606" t="s">
        <v>252</v>
      </c>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0"/>
      <c r="AK24" s="550"/>
    </row>
    <row r="25" spans="1:37" ht="18.75" customHeight="1">
      <c r="A25" s="774"/>
      <c r="B25" s="566">
        <f>5.4*C6</f>
        <v>0</v>
      </c>
      <c r="C25" s="566">
        <v>0</v>
      </c>
      <c r="D25" s="566">
        <v>0</v>
      </c>
      <c r="E25" s="560"/>
      <c r="F25" s="566">
        <f>((G6*5.4)*Q22)+((G6*0)*Q23)</f>
        <v>0</v>
      </c>
      <c r="G25" s="566">
        <v>0</v>
      </c>
      <c r="H25" s="566">
        <v>0</v>
      </c>
      <c r="I25" s="560"/>
      <c r="J25" s="566">
        <f>0.07*K6</f>
        <v>0</v>
      </c>
      <c r="K25" s="566">
        <v>0</v>
      </c>
      <c r="L25" s="566">
        <v>0</v>
      </c>
      <c r="M25" s="550"/>
      <c r="N25" s="550"/>
      <c r="O25" s="550"/>
      <c r="Q25" s="550"/>
      <c r="R25" s="550"/>
      <c r="S25" s="550"/>
      <c r="T25" s="550"/>
      <c r="U25" s="550"/>
      <c r="V25" s="550"/>
      <c r="W25" s="550"/>
      <c r="X25" s="550"/>
      <c r="Y25" s="550"/>
      <c r="Z25" s="550"/>
      <c r="AA25" s="550"/>
      <c r="AB25" s="550"/>
      <c r="AC25" s="550"/>
      <c r="AD25" s="550"/>
      <c r="AE25" s="550"/>
      <c r="AF25" s="550"/>
      <c r="AG25" s="550"/>
      <c r="AH25" s="550"/>
      <c r="AI25" s="550"/>
      <c r="AJ25" s="550"/>
      <c r="AK25" s="550"/>
    </row>
    <row r="26" spans="1:37">
      <c r="A26" s="774"/>
      <c r="B26" s="603" t="s">
        <v>769</v>
      </c>
      <c r="C26" s="603" t="s">
        <v>769</v>
      </c>
      <c r="D26" s="603" t="s">
        <v>769</v>
      </c>
      <c r="E26" s="556"/>
      <c r="F26" s="603" t="s">
        <v>769</v>
      </c>
      <c r="G26" s="603" t="s">
        <v>769</v>
      </c>
      <c r="H26" s="603" t="s">
        <v>769</v>
      </c>
      <c r="I26" s="604"/>
      <c r="J26" s="603" t="s">
        <v>769</v>
      </c>
      <c r="K26" s="603" t="s">
        <v>769</v>
      </c>
      <c r="L26" s="603" t="s">
        <v>769</v>
      </c>
      <c r="M26" s="550"/>
      <c r="N26" s="550"/>
      <c r="O26" s="550"/>
      <c r="P26" s="599" t="s">
        <v>773</v>
      </c>
      <c r="Q26" s="550"/>
      <c r="R26" s="550"/>
      <c r="S26" s="550"/>
      <c r="T26" s="550"/>
      <c r="U26" s="550"/>
      <c r="V26" s="550"/>
      <c r="W26" s="550"/>
      <c r="X26" s="550"/>
      <c r="Y26" s="550"/>
      <c r="Z26" s="550"/>
      <c r="AA26" s="550"/>
      <c r="AB26" s="550"/>
      <c r="AC26" s="550"/>
      <c r="AD26" s="550"/>
      <c r="AE26" s="550"/>
      <c r="AF26" s="550"/>
      <c r="AG26" s="550"/>
      <c r="AH26" s="550"/>
      <c r="AI26" s="550"/>
      <c r="AJ26" s="550"/>
      <c r="AK26" s="550"/>
    </row>
    <row r="27" spans="1:37">
      <c r="A27" s="775"/>
      <c r="B27" s="561"/>
      <c r="C27" s="550"/>
      <c r="D27" s="575"/>
      <c r="E27" s="550"/>
      <c r="F27" s="561"/>
      <c r="G27" s="550"/>
      <c r="H27" s="575"/>
      <c r="I27" s="550"/>
      <c r="J27" s="561"/>
      <c r="K27" s="550"/>
      <c r="L27" s="575"/>
      <c r="M27" s="550"/>
      <c r="N27" s="550"/>
      <c r="O27" s="550"/>
      <c r="P27" s="793" t="s">
        <v>771</v>
      </c>
      <c r="Q27" s="793"/>
      <c r="R27" s="793"/>
      <c r="S27" s="793"/>
      <c r="T27" s="793"/>
      <c r="U27" s="550"/>
      <c r="V27" s="550"/>
      <c r="W27" s="550"/>
      <c r="X27" s="550"/>
      <c r="Y27" s="550"/>
      <c r="Z27" s="550"/>
      <c r="AA27" s="550"/>
      <c r="AB27" s="550"/>
      <c r="AC27" s="550"/>
      <c r="AD27" s="550"/>
      <c r="AE27" s="550"/>
      <c r="AF27" s="550"/>
      <c r="AG27" s="550"/>
      <c r="AH27" s="550"/>
      <c r="AI27" s="550"/>
      <c r="AJ27" s="550"/>
      <c r="AK27" s="550"/>
    </row>
    <row r="28" spans="1:37">
      <c r="A28" s="598" t="s">
        <v>768</v>
      </c>
      <c r="B28" s="801" t="s">
        <v>767</v>
      </c>
      <c r="C28" s="802"/>
      <c r="D28" s="802"/>
      <c r="E28" s="802"/>
      <c r="F28" s="802"/>
      <c r="G28" s="802"/>
      <c r="H28" s="802"/>
      <c r="I28" s="802"/>
      <c r="J28" s="802"/>
      <c r="K28" s="802"/>
      <c r="L28" s="803"/>
      <c r="M28" s="550"/>
      <c r="N28" s="550"/>
      <c r="O28" s="550"/>
      <c r="P28" s="793"/>
      <c r="Q28" s="793"/>
      <c r="R28" s="793"/>
      <c r="S28" s="793"/>
      <c r="T28" s="793"/>
      <c r="U28" s="550"/>
      <c r="V28" s="550"/>
      <c r="W28" s="550"/>
      <c r="X28" s="550"/>
      <c r="Y28" s="550"/>
      <c r="Z28" s="550"/>
      <c r="AA28" s="550"/>
      <c r="AB28" s="550"/>
      <c r="AC28" s="550"/>
      <c r="AD28" s="550"/>
      <c r="AE28" s="550"/>
      <c r="AF28" s="550"/>
      <c r="AG28" s="550"/>
      <c r="AH28" s="550"/>
      <c r="AI28" s="550"/>
      <c r="AJ28" s="550"/>
      <c r="AK28" s="550"/>
    </row>
    <row r="29" spans="1:37">
      <c r="A29" s="773"/>
      <c r="B29" s="762" t="s">
        <v>765</v>
      </c>
      <c r="C29" s="763"/>
      <c r="D29" s="763"/>
      <c r="E29" s="763"/>
      <c r="F29" s="763"/>
      <c r="G29" s="763"/>
      <c r="H29" s="763"/>
      <c r="I29" s="763"/>
      <c r="J29" s="763"/>
      <c r="K29" s="763"/>
      <c r="L29" s="764"/>
      <c r="M29" s="550"/>
      <c r="N29" s="550"/>
      <c r="O29" s="550"/>
      <c r="P29" s="793"/>
      <c r="Q29" s="793"/>
      <c r="R29" s="793"/>
      <c r="S29" s="793"/>
      <c r="T29" s="793"/>
      <c r="U29" s="550"/>
      <c r="V29" s="550"/>
      <c r="W29" s="550"/>
      <c r="X29" s="550"/>
      <c r="Y29" s="550"/>
      <c r="Z29" s="550"/>
      <c r="AA29" s="550"/>
      <c r="AB29" s="550"/>
      <c r="AC29" s="550"/>
      <c r="AD29" s="550"/>
      <c r="AE29" s="550"/>
      <c r="AF29" s="550"/>
      <c r="AG29" s="550"/>
      <c r="AH29" s="550"/>
      <c r="AI29" s="550"/>
      <c r="AJ29" s="550"/>
      <c r="AK29" s="550"/>
    </row>
    <row r="30" spans="1:37">
      <c r="A30" s="774"/>
      <c r="B30" s="588" t="s">
        <v>143</v>
      </c>
      <c r="C30" s="587" t="s">
        <v>143</v>
      </c>
      <c r="D30" s="587" t="s">
        <v>143</v>
      </c>
      <c r="E30" s="561"/>
      <c r="F30" s="588" t="s">
        <v>143</v>
      </c>
      <c r="G30" s="587" t="s">
        <v>143</v>
      </c>
      <c r="H30" s="587" t="s">
        <v>143</v>
      </c>
      <c r="I30" s="561"/>
      <c r="J30" s="588" t="s">
        <v>143</v>
      </c>
      <c r="K30" s="587" t="s">
        <v>143</v>
      </c>
      <c r="L30" s="586" t="s">
        <v>143</v>
      </c>
      <c r="M30" s="550"/>
      <c r="N30" s="550"/>
      <c r="O30" s="571"/>
      <c r="P30" s="793"/>
      <c r="Q30" s="793"/>
      <c r="R30" s="793"/>
      <c r="S30" s="793"/>
      <c r="T30" s="793"/>
      <c r="U30" s="550"/>
      <c r="V30" s="550"/>
      <c r="W30" s="550"/>
      <c r="X30" s="550"/>
      <c r="Y30" s="550"/>
      <c r="Z30" s="550"/>
      <c r="AA30" s="550"/>
      <c r="AB30" s="550"/>
      <c r="AC30" s="550"/>
      <c r="AD30" s="550"/>
      <c r="AE30" s="550"/>
      <c r="AF30" s="550"/>
      <c r="AG30" s="550"/>
      <c r="AH30" s="550"/>
      <c r="AI30" s="550"/>
      <c r="AJ30" s="550"/>
      <c r="AK30" s="550"/>
    </row>
    <row r="31" spans="1:37">
      <c r="A31" s="774"/>
      <c r="B31" s="598" t="s">
        <v>112</v>
      </c>
      <c r="C31" s="598" t="s">
        <v>113</v>
      </c>
      <c r="D31" s="598" t="s">
        <v>114</v>
      </c>
      <c r="E31" s="563"/>
      <c r="F31" s="598" t="s">
        <v>112</v>
      </c>
      <c r="G31" s="598" t="s">
        <v>113</v>
      </c>
      <c r="H31" s="598" t="s">
        <v>114</v>
      </c>
      <c r="I31" s="561"/>
      <c r="J31" s="598" t="s">
        <v>112</v>
      </c>
      <c r="K31" s="598" t="s">
        <v>113</v>
      </c>
      <c r="L31" s="598" t="s">
        <v>114</v>
      </c>
      <c r="M31" s="550"/>
      <c r="N31" s="550"/>
      <c r="O31" s="571"/>
      <c r="P31" s="605"/>
      <c r="Q31" s="605"/>
      <c r="R31" s="605"/>
      <c r="S31" s="605"/>
      <c r="T31" s="550"/>
      <c r="U31" s="550"/>
      <c r="V31" s="550"/>
      <c r="W31" s="550"/>
      <c r="X31" s="550"/>
      <c r="Y31" s="550"/>
      <c r="Z31" s="550"/>
      <c r="AA31" s="550"/>
      <c r="AB31" s="550"/>
      <c r="AC31" s="550"/>
      <c r="AD31" s="550"/>
      <c r="AE31" s="550"/>
      <c r="AF31" s="550"/>
      <c r="AG31" s="550"/>
      <c r="AH31" s="550"/>
      <c r="AI31" s="550"/>
      <c r="AJ31" s="550"/>
      <c r="AK31" s="550"/>
    </row>
    <row r="32" spans="1:37">
      <c r="A32" s="774"/>
      <c r="B32" s="511">
        <v>0</v>
      </c>
      <c r="C32" s="511">
        <v>0</v>
      </c>
      <c r="D32" s="511">
        <v>0</v>
      </c>
      <c r="E32" s="560"/>
      <c r="F32" s="511">
        <v>0</v>
      </c>
      <c r="G32" s="511">
        <v>0</v>
      </c>
      <c r="H32" s="511">
        <v>0</v>
      </c>
      <c r="I32" s="561"/>
      <c r="J32" s="511">
        <v>0</v>
      </c>
      <c r="K32" s="511">
        <v>0</v>
      </c>
      <c r="L32" s="511">
        <v>0</v>
      </c>
      <c r="M32" s="550"/>
      <c r="N32" s="550"/>
      <c r="O32" s="597"/>
      <c r="P32" s="797" t="s">
        <v>770</v>
      </c>
      <c r="Q32" s="797"/>
      <c r="R32" s="797"/>
      <c r="S32" s="797"/>
      <c r="T32" s="797"/>
      <c r="U32" s="550"/>
      <c r="V32" s="550"/>
      <c r="W32" s="550"/>
      <c r="X32" s="550"/>
      <c r="Y32" s="550"/>
      <c r="Z32" s="550"/>
      <c r="AA32" s="550"/>
      <c r="AB32" s="550"/>
      <c r="AC32" s="550"/>
      <c r="AD32" s="550"/>
      <c r="AE32" s="550"/>
      <c r="AF32" s="550"/>
      <c r="AG32" s="550"/>
      <c r="AH32" s="550"/>
      <c r="AI32" s="550"/>
      <c r="AJ32" s="550"/>
      <c r="AK32" s="550"/>
    </row>
    <row r="33" spans="1:37" ht="18" customHeight="1">
      <c r="A33" s="774"/>
      <c r="B33" s="598" t="s">
        <v>115</v>
      </c>
      <c r="C33" s="550"/>
      <c r="D33" s="550"/>
      <c r="E33" s="592"/>
      <c r="F33" s="598" t="s">
        <v>115</v>
      </c>
      <c r="G33" s="550"/>
      <c r="H33" s="550"/>
      <c r="I33" s="561"/>
      <c r="J33" s="598" t="s">
        <v>115</v>
      </c>
      <c r="K33" s="550"/>
      <c r="L33" s="575"/>
      <c r="M33" s="550"/>
      <c r="N33" s="550"/>
      <c r="O33" s="597"/>
      <c r="P33" s="797"/>
      <c r="Q33" s="797"/>
      <c r="R33" s="797"/>
      <c r="S33" s="797"/>
      <c r="T33" s="797"/>
      <c r="U33" s="550"/>
      <c r="V33" s="550"/>
      <c r="W33" s="550"/>
      <c r="X33" s="550"/>
      <c r="Y33" s="550"/>
      <c r="Z33" s="550"/>
      <c r="AA33" s="550"/>
      <c r="AB33" s="550"/>
      <c r="AC33" s="550"/>
      <c r="AD33" s="550"/>
      <c r="AE33" s="550"/>
      <c r="AF33" s="550"/>
      <c r="AG33" s="550"/>
      <c r="AH33" s="550"/>
      <c r="AI33" s="550"/>
      <c r="AJ33" s="550"/>
      <c r="AK33" s="550"/>
    </row>
    <row r="34" spans="1:37">
      <c r="A34" s="774"/>
      <c r="B34" s="511">
        <v>0</v>
      </c>
      <c r="C34" s="550"/>
      <c r="D34" s="596" t="s">
        <v>751</v>
      </c>
      <c r="E34" s="592"/>
      <c r="F34" s="511">
        <v>0</v>
      </c>
      <c r="G34" s="550"/>
      <c r="H34" s="596" t="s">
        <v>751</v>
      </c>
      <c r="I34" s="561"/>
      <c r="J34" s="511">
        <v>0</v>
      </c>
      <c r="K34" s="550"/>
      <c r="L34" s="595" t="s">
        <v>751</v>
      </c>
      <c r="M34" s="550"/>
      <c r="N34" s="550"/>
      <c r="O34" s="550"/>
      <c r="P34" s="550"/>
      <c r="Q34" s="550"/>
      <c r="R34" s="550"/>
      <c r="S34" s="550"/>
      <c r="T34" s="550"/>
      <c r="U34" s="550"/>
      <c r="V34" s="550"/>
      <c r="W34" s="550"/>
      <c r="X34" s="550"/>
      <c r="Y34" s="550"/>
      <c r="Z34" s="550"/>
      <c r="AA34" s="550"/>
      <c r="AB34" s="550"/>
      <c r="AC34" s="550"/>
      <c r="AD34" s="550"/>
      <c r="AE34" s="550"/>
      <c r="AF34" s="550"/>
      <c r="AG34" s="550"/>
      <c r="AH34" s="550"/>
      <c r="AI34" s="550"/>
      <c r="AJ34" s="550"/>
      <c r="AK34" s="550"/>
    </row>
    <row r="35" spans="1:37">
      <c r="A35" s="774"/>
      <c r="B35" s="594" t="s">
        <v>734</v>
      </c>
      <c r="C35" s="550"/>
      <c r="D35" s="593" t="s">
        <v>737</v>
      </c>
      <c r="E35" s="592"/>
      <c r="F35" s="594" t="s">
        <v>734</v>
      </c>
      <c r="G35" s="550"/>
      <c r="H35" s="593" t="s">
        <v>737</v>
      </c>
      <c r="I35" s="561"/>
      <c r="J35" s="594" t="s">
        <v>734</v>
      </c>
      <c r="K35" s="550"/>
      <c r="L35" s="593" t="s">
        <v>737</v>
      </c>
      <c r="M35" s="550"/>
      <c r="N35" s="550"/>
      <c r="O35" s="550"/>
      <c r="P35" s="602" t="s">
        <v>766</v>
      </c>
      <c r="Q35" s="550"/>
      <c r="R35" s="550"/>
      <c r="S35" s="550"/>
      <c r="T35" s="550"/>
      <c r="U35" s="550"/>
      <c r="V35" s="550"/>
      <c r="W35" s="550"/>
      <c r="X35" s="550"/>
      <c r="Y35" s="550"/>
      <c r="Z35" s="550"/>
      <c r="AA35" s="550"/>
      <c r="AB35" s="550"/>
      <c r="AC35" s="550"/>
      <c r="AD35" s="550"/>
      <c r="AE35" s="550"/>
      <c r="AF35" s="550"/>
      <c r="AG35" s="550"/>
      <c r="AH35" s="550"/>
      <c r="AI35" s="550"/>
      <c r="AJ35" s="550"/>
      <c r="AK35" s="550"/>
    </row>
    <row r="36" spans="1:37">
      <c r="A36" s="774"/>
      <c r="B36" s="794" t="s">
        <v>759</v>
      </c>
      <c r="C36" s="795"/>
      <c r="D36" s="796"/>
      <c r="E36" s="592"/>
      <c r="F36" s="794" t="s">
        <v>759</v>
      </c>
      <c r="G36" s="795"/>
      <c r="H36" s="796"/>
      <c r="I36" s="561"/>
      <c r="J36" s="794" t="s">
        <v>759</v>
      </c>
      <c r="K36" s="795"/>
      <c r="L36" s="796"/>
      <c r="M36" s="582"/>
      <c r="N36" s="582"/>
      <c r="O36" s="582"/>
      <c r="P36" s="601" t="s">
        <v>764</v>
      </c>
      <c r="Q36" s="550"/>
      <c r="R36" s="550"/>
      <c r="S36" s="550"/>
      <c r="T36" s="550"/>
      <c r="U36" s="550"/>
      <c r="V36" s="550"/>
      <c r="W36" s="550"/>
      <c r="X36" s="550"/>
      <c r="Y36" s="550"/>
      <c r="Z36" s="550"/>
      <c r="AA36" s="550"/>
      <c r="AB36" s="550"/>
      <c r="AC36" s="550"/>
      <c r="AD36" s="550"/>
      <c r="AE36" s="550"/>
      <c r="AF36" s="550"/>
      <c r="AG36" s="550"/>
      <c r="AH36" s="550"/>
      <c r="AI36" s="550"/>
      <c r="AJ36" s="550"/>
      <c r="AK36" s="550"/>
    </row>
    <row r="37" spans="1:37">
      <c r="A37" s="775"/>
      <c r="B37" s="591"/>
      <c r="C37" s="590"/>
      <c r="D37" s="590"/>
      <c r="E37" s="592"/>
      <c r="F37" s="591"/>
      <c r="G37" s="590"/>
      <c r="H37" s="590"/>
      <c r="I37" s="561"/>
      <c r="J37" s="591"/>
      <c r="K37" s="590"/>
      <c r="L37" s="589"/>
      <c r="M37" s="582"/>
      <c r="N37" s="582"/>
      <c r="O37" s="582"/>
      <c r="P37" s="601" t="s">
        <v>763</v>
      </c>
      <c r="Q37" s="550"/>
      <c r="R37" s="600" t="s">
        <v>762</v>
      </c>
      <c r="S37" s="550"/>
      <c r="T37" s="550"/>
      <c r="U37" s="550"/>
      <c r="V37" s="550"/>
      <c r="W37" s="550"/>
      <c r="X37" s="550"/>
      <c r="Y37" s="550"/>
      <c r="Z37" s="550"/>
      <c r="AA37" s="550"/>
      <c r="AB37" s="550"/>
      <c r="AC37" s="550"/>
      <c r="AD37" s="550"/>
      <c r="AE37" s="550"/>
      <c r="AF37" s="550"/>
      <c r="AG37" s="550"/>
      <c r="AH37" s="550"/>
      <c r="AI37" s="550"/>
      <c r="AJ37" s="550"/>
      <c r="AK37" s="550"/>
    </row>
    <row r="38" spans="1:37">
      <c r="A38" s="585" t="s">
        <v>758</v>
      </c>
      <c r="B38" s="780" t="s">
        <v>757</v>
      </c>
      <c r="C38" s="781"/>
      <c r="D38" s="781"/>
      <c r="E38" s="781"/>
      <c r="F38" s="781"/>
      <c r="G38" s="781"/>
      <c r="H38" s="781"/>
      <c r="I38" s="781"/>
      <c r="J38" s="781"/>
      <c r="K38" s="781"/>
      <c r="L38" s="782"/>
      <c r="M38" s="582"/>
      <c r="N38" s="582"/>
      <c r="O38" s="582"/>
      <c r="P38" s="550"/>
      <c r="Q38" s="550"/>
      <c r="R38" s="550"/>
      <c r="S38" s="550"/>
      <c r="T38" s="550"/>
      <c r="U38" s="550"/>
      <c r="V38" s="550"/>
      <c r="W38" s="550"/>
      <c r="X38" s="550"/>
      <c r="Y38" s="550"/>
      <c r="Z38" s="550"/>
      <c r="AA38" s="550"/>
      <c r="AB38" s="550"/>
      <c r="AC38" s="550"/>
      <c r="AD38" s="550"/>
      <c r="AE38" s="550"/>
      <c r="AF38" s="550"/>
      <c r="AG38" s="550"/>
      <c r="AH38" s="550"/>
      <c r="AI38" s="550"/>
      <c r="AJ38" s="550"/>
      <c r="AK38" s="550"/>
    </row>
    <row r="39" spans="1:37">
      <c r="A39" s="773"/>
      <c r="B39" s="762" t="s">
        <v>756</v>
      </c>
      <c r="C39" s="763"/>
      <c r="D39" s="763"/>
      <c r="E39" s="763"/>
      <c r="F39" s="763"/>
      <c r="G39" s="763"/>
      <c r="H39" s="763"/>
      <c r="I39" s="763"/>
      <c r="J39" s="763"/>
      <c r="K39" s="763"/>
      <c r="L39" s="764"/>
      <c r="M39" s="582"/>
      <c r="N39" s="582"/>
      <c r="O39" s="582"/>
      <c r="P39" s="599" t="s">
        <v>761</v>
      </c>
      <c r="Q39" s="550"/>
      <c r="R39" s="550"/>
      <c r="S39" s="550"/>
      <c r="T39" s="550"/>
      <c r="U39" s="550"/>
      <c r="V39" s="550"/>
      <c r="W39" s="550"/>
      <c r="X39" s="550"/>
      <c r="Y39" s="550"/>
      <c r="Z39" s="550"/>
      <c r="AA39" s="550"/>
      <c r="AB39" s="550"/>
      <c r="AC39" s="550"/>
      <c r="AD39" s="550"/>
      <c r="AE39" s="550"/>
      <c r="AF39" s="550"/>
      <c r="AG39" s="550"/>
      <c r="AH39" s="550"/>
      <c r="AI39" s="550"/>
      <c r="AJ39" s="550"/>
      <c r="AK39" s="550"/>
    </row>
    <row r="40" spans="1:37">
      <c r="A40" s="774"/>
      <c r="B40" s="588" t="s">
        <v>143</v>
      </c>
      <c r="C40" s="587" t="s">
        <v>143</v>
      </c>
      <c r="D40" s="586" t="s">
        <v>143</v>
      </c>
      <c r="E40" s="582"/>
      <c r="F40" s="588" t="s">
        <v>143</v>
      </c>
      <c r="G40" s="587" t="s">
        <v>143</v>
      </c>
      <c r="H40" s="586" t="s">
        <v>143</v>
      </c>
      <c r="I40" s="582"/>
      <c r="J40" s="588" t="s">
        <v>143</v>
      </c>
      <c r="K40" s="587" t="s">
        <v>143</v>
      </c>
      <c r="L40" s="586" t="s">
        <v>143</v>
      </c>
      <c r="M40" s="582"/>
      <c r="N40" s="571" t="s">
        <v>363</v>
      </c>
      <c r="O40" s="582"/>
      <c r="P40" s="797" t="s">
        <v>760</v>
      </c>
      <c r="Q40" s="797"/>
      <c r="R40" s="797"/>
      <c r="S40" s="797"/>
      <c r="T40" s="797"/>
      <c r="U40" s="550"/>
      <c r="V40" s="550"/>
      <c r="W40" s="550"/>
      <c r="X40" s="550"/>
      <c r="Y40" s="550"/>
      <c r="Z40" s="550"/>
      <c r="AA40" s="550"/>
      <c r="AB40" s="550"/>
      <c r="AC40" s="550"/>
      <c r="AD40" s="550"/>
      <c r="AE40" s="550"/>
      <c r="AF40" s="550"/>
      <c r="AG40" s="550"/>
      <c r="AH40" s="550"/>
      <c r="AI40" s="550"/>
      <c r="AJ40" s="550"/>
      <c r="AK40" s="550"/>
    </row>
    <row r="41" spans="1:37">
      <c r="A41" s="774"/>
      <c r="B41" s="585" t="s">
        <v>112</v>
      </c>
      <c r="C41" s="585" t="s">
        <v>113</v>
      </c>
      <c r="D41" s="585" t="s">
        <v>114</v>
      </c>
      <c r="E41" s="584"/>
      <c r="F41" s="585" t="s">
        <v>112</v>
      </c>
      <c r="G41" s="585" t="s">
        <v>113</v>
      </c>
      <c r="H41" s="585" t="s">
        <v>114</v>
      </c>
      <c r="I41" s="584"/>
      <c r="J41" s="585" t="s">
        <v>112</v>
      </c>
      <c r="K41" s="585" t="s">
        <v>113</v>
      </c>
      <c r="L41" s="585" t="s">
        <v>114</v>
      </c>
      <c r="M41" s="582"/>
      <c r="N41" s="571" t="s">
        <v>364</v>
      </c>
      <c r="O41" s="582"/>
      <c r="P41" s="797"/>
      <c r="Q41" s="797"/>
      <c r="R41" s="797"/>
      <c r="S41" s="797"/>
      <c r="T41" s="797"/>
      <c r="U41" s="550"/>
      <c r="V41" s="550"/>
      <c r="W41" s="550"/>
      <c r="X41" s="550"/>
      <c r="Y41" s="550"/>
      <c r="Z41" s="550"/>
      <c r="AA41" s="550"/>
      <c r="AB41" s="550"/>
      <c r="AC41" s="550"/>
      <c r="AD41" s="550"/>
      <c r="AE41" s="550"/>
      <c r="AF41" s="550"/>
      <c r="AG41" s="550"/>
      <c r="AH41" s="550"/>
      <c r="AI41" s="550"/>
      <c r="AJ41" s="550"/>
      <c r="AK41" s="550"/>
    </row>
    <row r="42" spans="1:37">
      <c r="A42" s="774"/>
      <c r="B42" s="511">
        <v>0</v>
      </c>
      <c r="C42" s="511">
        <v>0</v>
      </c>
      <c r="D42" s="511">
        <v>0</v>
      </c>
      <c r="E42" s="584"/>
      <c r="F42" s="511">
        <v>0</v>
      </c>
      <c r="G42" s="511">
        <v>0</v>
      </c>
      <c r="H42" s="511">
        <v>0</v>
      </c>
      <c r="I42" s="583"/>
      <c r="J42" s="511">
        <v>0</v>
      </c>
      <c r="K42" s="511">
        <v>0</v>
      </c>
      <c r="L42" s="511">
        <v>0</v>
      </c>
      <c r="M42" s="582"/>
      <c r="N42" s="783" t="s">
        <v>362</v>
      </c>
      <c r="O42" s="582"/>
      <c r="P42" s="550"/>
      <c r="Q42" s="550"/>
      <c r="R42" s="550"/>
      <c r="S42" s="550"/>
      <c r="T42" s="550"/>
      <c r="U42" s="550"/>
      <c r="V42" s="550"/>
      <c r="W42" s="550"/>
      <c r="X42" s="550"/>
      <c r="Y42" s="550"/>
      <c r="Z42" s="550"/>
      <c r="AA42" s="550"/>
      <c r="AB42" s="550"/>
      <c r="AC42" s="550"/>
      <c r="AD42" s="550"/>
      <c r="AE42" s="550"/>
      <c r="AF42" s="550"/>
      <c r="AG42" s="550"/>
      <c r="AH42" s="550"/>
      <c r="AI42" s="550"/>
      <c r="AJ42" s="550"/>
      <c r="AK42" s="550"/>
    </row>
    <row r="43" spans="1:37">
      <c r="A43" s="775"/>
      <c r="B43" s="578"/>
      <c r="C43" s="577"/>
      <c r="D43" s="576"/>
      <c r="E43" s="584"/>
      <c r="F43" s="578"/>
      <c r="G43" s="577"/>
      <c r="H43" s="576"/>
      <c r="I43" s="583"/>
      <c r="J43" s="578"/>
      <c r="K43" s="577"/>
      <c r="L43" s="576"/>
      <c r="M43" s="582"/>
      <c r="N43" s="783"/>
      <c r="O43" s="582"/>
      <c r="P43" s="550"/>
      <c r="Q43" s="550"/>
      <c r="R43" s="550"/>
      <c r="S43" s="550"/>
      <c r="T43" s="550"/>
      <c r="U43" s="550"/>
      <c r="V43" s="550"/>
      <c r="W43" s="550"/>
      <c r="X43" s="550"/>
      <c r="Y43" s="550"/>
      <c r="Z43" s="550"/>
      <c r="AA43" s="550"/>
      <c r="AB43" s="550"/>
      <c r="AC43" s="550"/>
      <c r="AD43" s="550"/>
      <c r="AE43" s="550"/>
      <c r="AF43" s="550"/>
      <c r="AG43" s="550"/>
      <c r="AH43" s="550"/>
      <c r="AI43" s="550"/>
      <c r="AJ43" s="550"/>
      <c r="AK43" s="550"/>
    </row>
    <row r="44" spans="1:37">
      <c r="A44" s="580" t="s">
        <v>755</v>
      </c>
      <c r="B44" s="784" t="s">
        <v>754</v>
      </c>
      <c r="C44" s="785"/>
      <c r="D44" s="785"/>
      <c r="E44" s="785"/>
      <c r="F44" s="785"/>
      <c r="G44" s="785"/>
      <c r="H44" s="785"/>
      <c r="I44" s="785"/>
      <c r="J44" s="785"/>
      <c r="K44" s="785"/>
      <c r="L44" s="786"/>
      <c r="M44" s="550"/>
      <c r="N44" s="550"/>
      <c r="O44" s="550"/>
      <c r="P44" s="581" t="s">
        <v>753</v>
      </c>
      <c r="Q44" s="550"/>
      <c r="R44" s="550"/>
      <c r="S44" s="550"/>
      <c r="T44" s="550"/>
      <c r="U44" s="550"/>
      <c r="V44" s="550"/>
      <c r="W44" s="550"/>
      <c r="X44" s="550"/>
      <c r="Y44" s="550"/>
      <c r="Z44" s="550"/>
      <c r="AA44" s="550"/>
      <c r="AB44" s="550"/>
      <c r="AC44" s="550"/>
      <c r="AD44" s="550"/>
      <c r="AE44" s="550"/>
      <c r="AF44" s="550"/>
      <c r="AG44" s="550"/>
      <c r="AH44" s="550"/>
      <c r="AI44" s="550"/>
      <c r="AJ44" s="550"/>
      <c r="AK44" s="550"/>
    </row>
    <row r="45" spans="1:37" ht="18" customHeight="1">
      <c r="A45" s="773"/>
      <c r="B45" s="762" t="s">
        <v>752</v>
      </c>
      <c r="C45" s="763"/>
      <c r="D45" s="763"/>
      <c r="E45" s="763"/>
      <c r="F45" s="763"/>
      <c r="G45" s="763"/>
      <c r="H45" s="763"/>
      <c r="I45" s="763"/>
      <c r="J45" s="763"/>
      <c r="K45" s="763"/>
      <c r="L45" s="764"/>
      <c r="M45" s="550"/>
      <c r="N45" s="550"/>
      <c r="O45" s="550"/>
      <c r="P45" s="569"/>
      <c r="Q45" s="550"/>
      <c r="R45" s="550"/>
      <c r="S45" s="550"/>
      <c r="T45" s="550"/>
      <c r="U45" s="550"/>
      <c r="V45" s="550"/>
      <c r="W45" s="550"/>
      <c r="X45" s="550"/>
      <c r="Y45" s="550"/>
      <c r="Z45" s="550"/>
      <c r="AA45" s="550"/>
      <c r="AB45" s="550"/>
      <c r="AC45" s="550"/>
      <c r="AD45" s="550"/>
      <c r="AE45" s="550"/>
      <c r="AF45" s="550"/>
      <c r="AG45" s="550"/>
      <c r="AH45" s="550"/>
      <c r="AI45" s="550"/>
      <c r="AJ45" s="550"/>
      <c r="AK45" s="550"/>
    </row>
    <row r="46" spans="1:37">
      <c r="A46" s="774"/>
      <c r="B46" s="776" t="s">
        <v>751</v>
      </c>
      <c r="C46" s="777"/>
      <c r="D46" s="580" t="s">
        <v>112</v>
      </c>
      <c r="E46" s="563"/>
      <c r="F46" s="776" t="s">
        <v>751</v>
      </c>
      <c r="G46" s="777"/>
      <c r="H46" s="580" t="s">
        <v>112</v>
      </c>
      <c r="I46" s="563"/>
      <c r="J46" s="776" t="s">
        <v>751</v>
      </c>
      <c r="K46" s="777"/>
      <c r="L46" s="580" t="s">
        <v>112</v>
      </c>
      <c r="M46" s="550"/>
      <c r="N46" s="571"/>
      <c r="O46" s="571"/>
      <c r="P46" s="550"/>
      <c r="Q46" s="569"/>
      <c r="R46" s="569"/>
      <c r="S46" s="569"/>
      <c r="T46" s="550"/>
      <c r="U46" s="550"/>
      <c r="V46" s="550"/>
      <c r="W46" s="550"/>
      <c r="X46" s="550"/>
      <c r="Y46" s="550"/>
      <c r="Z46" s="550"/>
      <c r="AA46" s="550"/>
      <c r="AB46" s="550"/>
      <c r="AC46" s="550"/>
      <c r="AD46" s="550"/>
      <c r="AE46" s="550"/>
      <c r="AF46" s="550"/>
      <c r="AG46" s="550"/>
      <c r="AH46" s="550"/>
      <c r="AI46" s="550"/>
      <c r="AJ46" s="550"/>
      <c r="AK46" s="550"/>
    </row>
    <row r="47" spans="1:37">
      <c r="A47" s="774"/>
      <c r="B47" s="778" t="s">
        <v>718</v>
      </c>
      <c r="C47" s="779"/>
      <c r="D47" s="511">
        <f>VLOOKUP(B47,'Manure and Nutrient Credits'!$A$3:$B$16,2,FALSE)</f>
        <v>0</v>
      </c>
      <c r="E47" s="560"/>
      <c r="F47" s="778" t="s">
        <v>718</v>
      </c>
      <c r="G47" s="779"/>
      <c r="H47" s="511">
        <f>VLOOKUP(F47,'Manure and Nutrient Credits'!$A$3:$B$16,2,FALSE)</f>
        <v>0</v>
      </c>
      <c r="I47" s="579"/>
      <c r="J47" s="778" t="s">
        <v>718</v>
      </c>
      <c r="K47" s="779"/>
      <c r="L47" s="511">
        <f>VLOOKUP(J47,'Manure and Nutrient Credits'!$A$3:$B$16,2,FALSE)</f>
        <v>0</v>
      </c>
      <c r="M47" s="550"/>
      <c r="N47" s="572"/>
      <c r="O47" s="572"/>
      <c r="P47" s="550"/>
      <c r="Q47" s="550"/>
      <c r="R47" s="550"/>
      <c r="S47" s="550"/>
      <c r="T47" s="550"/>
      <c r="U47" s="550"/>
      <c r="V47" s="550"/>
      <c r="W47" s="550"/>
      <c r="X47" s="550"/>
      <c r="Y47" s="550"/>
      <c r="Z47" s="550"/>
      <c r="AA47" s="550"/>
      <c r="AB47" s="550"/>
      <c r="AC47" s="550"/>
      <c r="AD47" s="550"/>
      <c r="AE47" s="550"/>
      <c r="AF47" s="550"/>
      <c r="AG47" s="550"/>
      <c r="AH47" s="550"/>
      <c r="AI47" s="550"/>
      <c r="AJ47" s="550"/>
      <c r="AK47" s="550"/>
    </row>
    <row r="48" spans="1:37">
      <c r="A48" s="775"/>
      <c r="B48" s="578"/>
      <c r="C48" s="577"/>
      <c r="D48" s="576"/>
      <c r="E48" s="560"/>
      <c r="F48" s="578"/>
      <c r="G48" s="577"/>
      <c r="H48" s="576"/>
      <c r="I48" s="579"/>
      <c r="J48" s="578"/>
      <c r="K48" s="577"/>
      <c r="L48" s="576"/>
      <c r="M48" s="550"/>
      <c r="N48" s="572"/>
      <c r="O48" s="572"/>
      <c r="P48" s="550"/>
      <c r="Q48" s="550"/>
      <c r="R48" s="550"/>
      <c r="S48" s="550"/>
      <c r="T48" s="550"/>
      <c r="U48" s="550"/>
      <c r="V48" s="550"/>
      <c r="W48" s="550"/>
      <c r="X48" s="550"/>
      <c r="Y48" s="550"/>
      <c r="Z48" s="550"/>
      <c r="AA48" s="550"/>
      <c r="AB48" s="550"/>
      <c r="AC48" s="550"/>
      <c r="AD48" s="550"/>
      <c r="AE48" s="550"/>
      <c r="AF48" s="550"/>
      <c r="AG48" s="550"/>
      <c r="AH48" s="550"/>
      <c r="AI48" s="550"/>
      <c r="AJ48" s="550"/>
      <c r="AK48" s="550"/>
    </row>
    <row r="49" spans="1:37" ht="18" customHeight="1">
      <c r="A49" s="565" t="s">
        <v>750</v>
      </c>
      <c r="B49" s="758" t="s">
        <v>749</v>
      </c>
      <c r="C49" s="759"/>
      <c r="D49" s="759"/>
      <c r="E49" s="759"/>
      <c r="F49" s="759"/>
      <c r="G49" s="759"/>
      <c r="H49" s="759"/>
      <c r="I49" s="759"/>
      <c r="J49" s="759"/>
      <c r="K49" s="759"/>
      <c r="L49" s="760"/>
      <c r="M49" s="550"/>
      <c r="N49" s="571"/>
      <c r="O49" s="571"/>
      <c r="P49" s="550"/>
      <c r="Q49" s="550"/>
      <c r="R49" s="550"/>
      <c r="S49" s="550"/>
      <c r="T49" s="550"/>
      <c r="U49" s="550"/>
      <c r="V49" s="550"/>
      <c r="W49" s="550"/>
      <c r="X49" s="550"/>
      <c r="Y49" s="550"/>
      <c r="Z49" s="550"/>
      <c r="AA49" s="550"/>
      <c r="AB49" s="550"/>
      <c r="AC49" s="550"/>
      <c r="AD49" s="550"/>
      <c r="AE49" s="550"/>
      <c r="AF49" s="550"/>
      <c r="AG49" s="550"/>
      <c r="AH49" s="550"/>
      <c r="AI49" s="550"/>
      <c r="AJ49" s="550"/>
      <c r="AK49" s="550"/>
    </row>
    <row r="50" spans="1:37" ht="18" customHeight="1">
      <c r="A50" s="761"/>
      <c r="B50" s="762" t="s">
        <v>748</v>
      </c>
      <c r="C50" s="763"/>
      <c r="D50" s="763"/>
      <c r="E50" s="763"/>
      <c r="F50" s="763"/>
      <c r="G50" s="763"/>
      <c r="H50" s="763"/>
      <c r="I50" s="763"/>
      <c r="J50" s="763"/>
      <c r="K50" s="763"/>
      <c r="L50" s="764"/>
      <c r="M50" s="550"/>
      <c r="N50" s="571"/>
      <c r="O50" s="571"/>
      <c r="P50" s="550"/>
      <c r="Q50" s="550"/>
      <c r="R50" s="550"/>
      <c r="S50" s="550"/>
      <c r="T50" s="550"/>
      <c r="U50" s="550"/>
      <c r="V50" s="550"/>
      <c r="W50" s="550"/>
      <c r="X50" s="550"/>
      <c r="Y50" s="550"/>
      <c r="Z50" s="550"/>
      <c r="AA50" s="550"/>
      <c r="AB50" s="550"/>
      <c r="AC50" s="550"/>
      <c r="AD50" s="550"/>
      <c r="AE50" s="550"/>
      <c r="AF50" s="550"/>
      <c r="AG50" s="550"/>
      <c r="AH50" s="550"/>
      <c r="AI50" s="550"/>
      <c r="AJ50" s="550"/>
      <c r="AK50" s="550"/>
    </row>
    <row r="51" spans="1:37">
      <c r="A51" s="722"/>
      <c r="B51" s="561"/>
      <c r="C51" s="550"/>
      <c r="D51" s="575"/>
      <c r="E51" s="550"/>
      <c r="F51" s="561"/>
      <c r="G51" s="550"/>
      <c r="H51" s="575"/>
      <c r="I51" s="550"/>
      <c r="J51" s="561"/>
      <c r="K51" s="550"/>
      <c r="L51" s="575"/>
      <c r="M51" s="550"/>
      <c r="N51" s="550"/>
      <c r="O51" s="550"/>
      <c r="P51" s="550"/>
      <c r="Q51" s="550"/>
      <c r="R51" s="550"/>
      <c r="S51" s="550"/>
      <c r="T51" s="550"/>
      <c r="U51" s="550"/>
      <c r="V51" s="550"/>
      <c r="W51" s="550"/>
      <c r="X51" s="550"/>
      <c r="Y51" s="550"/>
      <c r="Z51" s="550"/>
      <c r="AA51" s="550"/>
      <c r="AB51" s="550"/>
      <c r="AC51" s="550"/>
      <c r="AD51" s="550"/>
      <c r="AE51" s="550"/>
      <c r="AF51" s="550"/>
      <c r="AG51" s="550"/>
      <c r="AH51" s="550"/>
      <c r="AI51" s="550"/>
      <c r="AJ51" s="550"/>
      <c r="AK51" s="550"/>
    </row>
    <row r="52" spans="1:37">
      <c r="A52" s="461"/>
      <c r="B52" s="769" t="s">
        <v>723</v>
      </c>
      <c r="C52" s="770"/>
      <c r="D52" s="771"/>
      <c r="E52" s="550"/>
      <c r="F52" s="769" t="s">
        <v>723</v>
      </c>
      <c r="G52" s="770"/>
      <c r="H52" s="771"/>
      <c r="I52" s="550"/>
      <c r="J52" s="769" t="s">
        <v>723</v>
      </c>
      <c r="K52" s="770"/>
      <c r="L52" s="771"/>
      <c r="M52" s="550"/>
      <c r="N52" s="550"/>
      <c r="O52" s="550"/>
      <c r="P52" s="550"/>
      <c r="Q52" s="550"/>
      <c r="R52" s="550"/>
      <c r="S52" s="550"/>
      <c r="T52" s="550"/>
      <c r="U52" s="550"/>
      <c r="V52" s="550"/>
      <c r="W52" s="550"/>
      <c r="X52" s="550"/>
      <c r="Y52" s="550"/>
      <c r="Z52" s="550"/>
      <c r="AA52" s="550"/>
      <c r="AB52" s="550"/>
      <c r="AC52" s="550"/>
      <c r="AD52" s="550"/>
      <c r="AE52" s="550"/>
      <c r="AF52" s="550"/>
      <c r="AG52" s="550"/>
      <c r="AH52" s="550"/>
      <c r="AI52" s="550"/>
      <c r="AJ52" s="550"/>
      <c r="AK52" s="550"/>
    </row>
    <row r="53" spans="1:37">
      <c r="A53" s="574"/>
      <c r="B53" s="570" t="s">
        <v>112</v>
      </c>
      <c r="C53" s="570" t="s">
        <v>113</v>
      </c>
      <c r="D53" s="570" t="s">
        <v>114</v>
      </c>
      <c r="E53" s="563"/>
      <c r="F53" s="565" t="s">
        <v>112</v>
      </c>
      <c r="G53" s="565" t="s">
        <v>113</v>
      </c>
      <c r="H53" s="565" t="s">
        <v>114</v>
      </c>
      <c r="I53" s="563"/>
      <c r="J53" s="565" t="s">
        <v>112</v>
      </c>
      <c r="K53" s="565" t="s">
        <v>113</v>
      </c>
      <c r="L53" s="565" t="s">
        <v>114</v>
      </c>
      <c r="M53" s="550"/>
      <c r="N53" s="550"/>
      <c r="O53" s="550"/>
      <c r="P53" s="550"/>
      <c r="Q53" s="550"/>
      <c r="R53" s="550"/>
      <c r="S53" s="550"/>
      <c r="T53" s="550"/>
      <c r="U53" s="550"/>
      <c r="V53" s="550"/>
      <c r="W53" s="550"/>
      <c r="X53" s="550"/>
      <c r="Y53" s="550"/>
      <c r="Z53" s="550"/>
      <c r="AA53" s="550"/>
      <c r="AB53" s="550"/>
      <c r="AC53" s="550"/>
      <c r="AD53" s="550"/>
      <c r="AE53" s="550"/>
      <c r="AF53" s="550"/>
      <c r="AG53" s="550"/>
      <c r="AH53" s="550"/>
      <c r="AI53" s="550"/>
      <c r="AJ53" s="550"/>
      <c r="AK53" s="550"/>
    </row>
    <row r="54" spans="1:37" ht="18" hidden="1" customHeight="1">
      <c r="A54" s="550"/>
      <c r="B54" s="492">
        <f>B12-(B32*'Manure and Nutrient Credits'!$D$27)-B42-D47</f>
        <v>0</v>
      </c>
      <c r="C54" s="492">
        <f>C12-(C32*'Manure and Nutrient Credits'!$D$27)-C42</f>
        <v>0</v>
      </c>
      <c r="D54" s="492">
        <f>D12-(D32*'Manure and Nutrient Credits'!$D$27)-D42</f>
        <v>0</v>
      </c>
      <c r="E54" s="563"/>
      <c r="F54" s="492">
        <f>F12-(F32*'Manure and Nutrient Credits'!$D$30)-F42-H47</f>
        <v>0</v>
      </c>
      <c r="G54" s="492">
        <f>G12-(G32*'Manure and Nutrient Credits'!$D$30)-G42</f>
        <v>0</v>
      </c>
      <c r="H54" s="492">
        <f>H12-(H32*'Manure and Nutrient Credits'!$D$30)-H42</f>
        <v>0</v>
      </c>
      <c r="I54" s="563"/>
      <c r="J54" s="492">
        <f>J12-(J32*'Manure and Nutrient Credits'!$D$33)-J42-L47</f>
        <v>0</v>
      </c>
      <c r="K54" s="492">
        <f>K12-(K32*'Manure and Nutrient Credits'!$D$33)-K42</f>
        <v>0</v>
      </c>
      <c r="L54" s="492">
        <f>L12-(L32*'Manure and Nutrient Credits'!$D$33)-L42</f>
        <v>0</v>
      </c>
      <c r="M54" s="550"/>
      <c r="N54" s="572"/>
      <c r="O54" s="572"/>
      <c r="P54" s="550"/>
      <c r="Q54" s="571"/>
      <c r="R54" s="550"/>
      <c r="S54" s="550"/>
      <c r="T54" s="550"/>
      <c r="U54" s="550"/>
      <c r="V54" s="550"/>
      <c r="W54" s="550"/>
      <c r="X54" s="550"/>
      <c r="Y54" s="550"/>
      <c r="Z54" s="550"/>
      <c r="AA54" s="550"/>
      <c r="AB54" s="550"/>
      <c r="AC54" s="550"/>
      <c r="AD54" s="550"/>
      <c r="AE54" s="550"/>
      <c r="AF54" s="550"/>
      <c r="AG54" s="550"/>
      <c r="AH54" s="550"/>
      <c r="AI54" s="550"/>
      <c r="AJ54" s="550"/>
      <c r="AK54" s="550"/>
    </row>
    <row r="55" spans="1:37">
      <c r="A55" s="550"/>
      <c r="B55" s="566">
        <f>MAX(0,B54)</f>
        <v>0</v>
      </c>
      <c r="C55" s="566">
        <f>MAX(0,C54)</f>
        <v>0</v>
      </c>
      <c r="D55" s="566">
        <f>MAX(0,D54)</f>
        <v>0</v>
      </c>
      <c r="E55" s="563"/>
      <c r="F55" s="573">
        <f>MAX(0,F54)</f>
        <v>0</v>
      </c>
      <c r="G55" s="566">
        <f>MAX(0,G54)</f>
        <v>0</v>
      </c>
      <c r="H55" s="566">
        <f>MAX(0,H54)</f>
        <v>0</v>
      </c>
      <c r="I55" s="563"/>
      <c r="J55" s="566">
        <f>MAX(0,J54)</f>
        <v>0</v>
      </c>
      <c r="K55" s="566">
        <f>MAX(0,K54)</f>
        <v>0</v>
      </c>
      <c r="L55" s="566">
        <f>MAX(0,L54)</f>
        <v>0</v>
      </c>
      <c r="M55" s="550"/>
      <c r="N55" s="572"/>
      <c r="O55" s="572"/>
      <c r="P55" s="550"/>
      <c r="Q55" s="571"/>
      <c r="R55" s="550"/>
      <c r="S55" s="550"/>
      <c r="T55" s="550"/>
      <c r="U55" s="550"/>
      <c r="V55" s="550"/>
      <c r="W55" s="550"/>
      <c r="X55" s="550"/>
      <c r="Y55" s="550"/>
      <c r="Z55" s="550"/>
      <c r="AA55" s="550"/>
      <c r="AB55" s="550"/>
      <c r="AC55" s="550"/>
      <c r="AD55" s="550"/>
      <c r="AE55" s="550"/>
      <c r="AF55" s="550"/>
      <c r="AG55" s="550"/>
      <c r="AH55" s="550"/>
      <c r="AI55" s="550"/>
      <c r="AJ55" s="550"/>
      <c r="AK55" s="550"/>
    </row>
    <row r="56" spans="1:37">
      <c r="A56" s="550"/>
      <c r="B56" s="565" t="s">
        <v>115</v>
      </c>
      <c r="C56" s="568" t="s">
        <v>116</v>
      </c>
      <c r="D56" s="567" t="s">
        <v>252</v>
      </c>
      <c r="E56" s="563"/>
      <c r="F56" s="565" t="s">
        <v>115</v>
      </c>
      <c r="G56" s="568" t="s">
        <v>116</v>
      </c>
      <c r="H56" s="567" t="s">
        <v>252</v>
      </c>
      <c r="I56" s="563"/>
      <c r="J56" s="565" t="s">
        <v>115</v>
      </c>
      <c r="K56" s="568" t="s">
        <v>116</v>
      </c>
      <c r="L56" s="567" t="s">
        <v>252</v>
      </c>
      <c r="M56" s="550"/>
      <c r="N56" s="550"/>
      <c r="O56" s="550"/>
      <c r="P56" s="550"/>
      <c r="Q56" s="550"/>
      <c r="R56" s="550"/>
      <c r="S56" s="550"/>
      <c r="T56" s="550"/>
      <c r="U56" s="550"/>
      <c r="V56" s="550"/>
      <c r="W56" s="550"/>
      <c r="X56" s="550"/>
      <c r="Y56" s="550"/>
      <c r="Z56" s="550"/>
      <c r="AA56" s="550"/>
      <c r="AB56" s="550"/>
      <c r="AC56" s="550"/>
      <c r="AD56" s="550"/>
      <c r="AE56" s="550"/>
      <c r="AF56" s="550"/>
      <c r="AG56" s="550"/>
      <c r="AH56" s="550"/>
      <c r="AI56" s="550"/>
      <c r="AJ56" s="550"/>
      <c r="AK56" s="550"/>
    </row>
    <row r="57" spans="1:37" ht="18" hidden="1" customHeight="1">
      <c r="A57" s="550"/>
      <c r="B57" s="492">
        <f>B14-(B34*'Manure and Nutrient Credits'!$D$27)</f>
        <v>0</v>
      </c>
      <c r="C57" s="492">
        <f>C14</f>
        <v>0</v>
      </c>
      <c r="D57" s="492">
        <f>D14</f>
        <v>0</v>
      </c>
      <c r="E57" s="563"/>
      <c r="F57" s="492">
        <f>F14-(F34*'Manure and Nutrient Credits'!$D$30)</f>
        <v>0</v>
      </c>
      <c r="G57" s="492">
        <f>G14</f>
        <v>0</v>
      </c>
      <c r="H57" s="492">
        <f>H14</f>
        <v>0</v>
      </c>
      <c r="I57" s="563"/>
      <c r="J57" s="492">
        <f>J14-(J34*'Manure and Nutrient Credits'!$D$33)</f>
        <v>0</v>
      </c>
      <c r="K57" s="492">
        <f>K14</f>
        <v>0</v>
      </c>
      <c r="L57" s="492">
        <f>L14</f>
        <v>0</v>
      </c>
      <c r="M57" s="550"/>
      <c r="N57" s="550"/>
      <c r="O57" s="550"/>
      <c r="P57" s="550"/>
      <c r="Q57" s="550"/>
      <c r="R57" s="550"/>
      <c r="S57" s="550"/>
      <c r="T57" s="550"/>
      <c r="U57" s="550"/>
      <c r="V57" s="550"/>
      <c r="W57" s="550"/>
      <c r="X57" s="550"/>
      <c r="Y57" s="550"/>
      <c r="Z57" s="550"/>
      <c r="AA57" s="550"/>
      <c r="AB57" s="550"/>
      <c r="AC57" s="550"/>
      <c r="AD57" s="550"/>
      <c r="AE57" s="550"/>
      <c r="AF57" s="550"/>
      <c r="AG57" s="550"/>
      <c r="AH57" s="550"/>
      <c r="AI57" s="550"/>
      <c r="AJ57" s="550"/>
      <c r="AK57" s="550"/>
    </row>
    <row r="58" spans="1:37">
      <c r="A58" s="550"/>
      <c r="B58" s="566">
        <f>MAX(0,B57)</f>
        <v>0</v>
      </c>
      <c r="C58" s="566">
        <f>MAX(0,C57)</f>
        <v>0</v>
      </c>
      <c r="D58" s="566">
        <f>MAX(0,D57)</f>
        <v>0</v>
      </c>
      <c r="E58" s="563"/>
      <c r="F58" s="566">
        <f>MAX(0,F57)</f>
        <v>0</v>
      </c>
      <c r="G58" s="566">
        <f>MAX(0,G57)</f>
        <v>0</v>
      </c>
      <c r="H58" s="566">
        <f>MAX(0,H57)</f>
        <v>0</v>
      </c>
      <c r="I58" s="563"/>
      <c r="J58" s="566">
        <f>MAX(0,J57)</f>
        <v>0</v>
      </c>
      <c r="K58" s="566">
        <f>MAX(0,K57)</f>
        <v>0</v>
      </c>
      <c r="L58" s="566">
        <f>MAX(0,L57)</f>
        <v>0</v>
      </c>
      <c r="M58" s="550"/>
      <c r="N58" s="550"/>
      <c r="O58" s="550"/>
      <c r="P58" s="550"/>
      <c r="Q58" s="550"/>
      <c r="R58" s="550"/>
      <c r="S58" s="550"/>
      <c r="T58" s="550"/>
      <c r="U58" s="550"/>
      <c r="V58" s="550"/>
      <c r="W58" s="550"/>
      <c r="X58" s="550"/>
      <c r="Y58" s="550"/>
      <c r="Z58" s="550"/>
      <c r="AA58" s="550"/>
      <c r="AB58" s="550"/>
      <c r="AC58" s="550"/>
      <c r="AD58" s="550"/>
      <c r="AE58" s="550"/>
      <c r="AF58" s="550"/>
      <c r="AG58" s="550"/>
      <c r="AH58" s="550"/>
      <c r="AI58" s="550"/>
      <c r="AJ58" s="550"/>
      <c r="AK58" s="550"/>
    </row>
    <row r="59" spans="1:37" ht="18" customHeight="1">
      <c r="A59" s="550"/>
      <c r="B59" s="565" t="s">
        <v>118</v>
      </c>
      <c r="C59" s="565" t="s">
        <v>119</v>
      </c>
      <c r="D59" s="565" t="s">
        <v>120</v>
      </c>
      <c r="E59" s="410"/>
      <c r="F59" s="565" t="s">
        <v>118</v>
      </c>
      <c r="G59" s="565" t="s">
        <v>119</v>
      </c>
      <c r="H59" s="565" t="s">
        <v>120</v>
      </c>
      <c r="I59" s="410"/>
      <c r="J59" s="565" t="s">
        <v>118</v>
      </c>
      <c r="K59" s="565" t="s">
        <v>119</v>
      </c>
      <c r="L59" s="565" t="s">
        <v>120</v>
      </c>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0"/>
      <c r="AK59" s="550"/>
    </row>
    <row r="60" spans="1:37" ht="18" customHeight="1">
      <c r="A60" s="550"/>
      <c r="B60" s="492">
        <v>0</v>
      </c>
      <c r="C60" s="492">
        <v>0</v>
      </c>
      <c r="D60" s="492">
        <v>0</v>
      </c>
      <c r="E60" s="410"/>
      <c r="F60" s="492">
        <v>0</v>
      </c>
      <c r="G60" s="492">
        <v>0</v>
      </c>
      <c r="H60" s="492">
        <v>0</v>
      </c>
      <c r="I60" s="410"/>
      <c r="J60" s="492">
        <v>0</v>
      </c>
      <c r="K60" s="492">
        <v>0</v>
      </c>
      <c r="L60" s="492">
        <v>0</v>
      </c>
      <c r="M60" s="550"/>
      <c r="N60" s="550"/>
      <c r="O60" s="550"/>
      <c r="P60" s="550"/>
      <c r="Q60" s="550"/>
      <c r="R60" s="550"/>
      <c r="S60" s="550"/>
      <c r="T60" s="550"/>
      <c r="U60" s="550"/>
      <c r="V60" s="550"/>
      <c r="W60" s="550"/>
      <c r="X60" s="550"/>
      <c r="Y60" s="550"/>
      <c r="Z60" s="550"/>
      <c r="AA60" s="550"/>
      <c r="AB60" s="550"/>
      <c r="AC60" s="550"/>
      <c r="AD60" s="550"/>
      <c r="AE60" s="550"/>
      <c r="AF60" s="550"/>
      <c r="AG60" s="550"/>
      <c r="AH60" s="550"/>
      <c r="AI60" s="550"/>
      <c r="AJ60" s="550"/>
      <c r="AK60" s="550"/>
    </row>
    <row r="61" spans="1:37">
      <c r="A61" s="772"/>
      <c r="B61" s="564"/>
      <c r="C61" s="556"/>
      <c r="D61" s="556"/>
      <c r="E61" s="563"/>
      <c r="F61" s="556"/>
      <c r="G61" s="556"/>
      <c r="H61" s="556"/>
      <c r="I61" s="563"/>
      <c r="J61" s="556"/>
      <c r="K61" s="556"/>
      <c r="L61" s="562"/>
      <c r="M61" s="550"/>
      <c r="N61" s="550"/>
      <c r="O61" s="550"/>
      <c r="P61" s="550"/>
      <c r="Q61" s="550"/>
      <c r="R61" s="550"/>
      <c r="S61" s="550"/>
      <c r="T61" s="550"/>
      <c r="U61" s="550"/>
      <c r="V61" s="550"/>
      <c r="W61" s="550"/>
      <c r="X61" s="550"/>
      <c r="Y61" s="550"/>
      <c r="Z61" s="550"/>
      <c r="AA61" s="550"/>
      <c r="AB61" s="550"/>
      <c r="AC61" s="550"/>
      <c r="AD61" s="550"/>
      <c r="AE61" s="550"/>
      <c r="AF61" s="550"/>
      <c r="AG61" s="550"/>
      <c r="AH61" s="550"/>
      <c r="AI61" s="550"/>
      <c r="AJ61" s="550"/>
      <c r="AK61" s="550"/>
    </row>
    <row r="62" spans="1:37">
      <c r="A62" s="772"/>
      <c r="B62" s="769" t="s">
        <v>747</v>
      </c>
      <c r="C62" s="770"/>
      <c r="D62" s="771"/>
      <c r="E62" s="550"/>
      <c r="F62" s="769" t="s">
        <v>747</v>
      </c>
      <c r="G62" s="770"/>
      <c r="H62" s="771"/>
      <c r="I62" s="550"/>
      <c r="J62" s="769" t="s">
        <v>747</v>
      </c>
      <c r="K62" s="770"/>
      <c r="L62" s="771"/>
      <c r="M62" s="550"/>
      <c r="N62" s="550"/>
      <c r="O62" s="550"/>
      <c r="P62" s="550"/>
      <c r="Q62" s="550"/>
      <c r="R62" s="550"/>
      <c r="S62" s="550"/>
      <c r="T62" s="550"/>
      <c r="U62" s="550"/>
      <c r="V62" s="550"/>
      <c r="W62" s="550"/>
      <c r="X62" s="550"/>
      <c r="Y62" s="550"/>
      <c r="Z62" s="550"/>
      <c r="AA62" s="550"/>
      <c r="AB62" s="550"/>
      <c r="AC62" s="550"/>
      <c r="AD62" s="550"/>
      <c r="AE62" s="550"/>
      <c r="AF62" s="550"/>
      <c r="AG62" s="550"/>
      <c r="AH62" s="550"/>
      <c r="AI62" s="550"/>
      <c r="AJ62" s="550"/>
      <c r="AK62" s="550"/>
    </row>
    <row r="63" spans="1:37">
      <c r="A63" s="550"/>
      <c r="B63" s="570" t="s">
        <v>112</v>
      </c>
      <c r="C63" s="570" t="s">
        <v>113</v>
      </c>
      <c r="D63" s="570" t="s">
        <v>114</v>
      </c>
      <c r="E63" s="563"/>
      <c r="F63" s="565" t="s">
        <v>112</v>
      </c>
      <c r="G63" s="565" t="s">
        <v>113</v>
      </c>
      <c r="H63" s="565" t="s">
        <v>114</v>
      </c>
      <c r="I63" s="563"/>
      <c r="J63" s="565" t="s">
        <v>112</v>
      </c>
      <c r="K63" s="565" t="s">
        <v>113</v>
      </c>
      <c r="L63" s="565" t="s">
        <v>114</v>
      </c>
      <c r="M63" s="550"/>
      <c r="N63" s="550"/>
      <c r="O63" s="550"/>
      <c r="P63" s="550"/>
      <c r="Q63" s="550"/>
      <c r="R63" s="550"/>
      <c r="S63" s="550"/>
      <c r="T63" s="550"/>
      <c r="U63" s="550"/>
      <c r="V63" s="550"/>
      <c r="W63" s="550"/>
      <c r="X63" s="550"/>
      <c r="Y63" s="550"/>
      <c r="Z63" s="550"/>
      <c r="AA63" s="550"/>
      <c r="AB63" s="550"/>
      <c r="AC63" s="550"/>
      <c r="AD63" s="550"/>
      <c r="AE63" s="550"/>
      <c r="AF63" s="550"/>
      <c r="AG63" s="550"/>
      <c r="AH63" s="550"/>
      <c r="AI63" s="550"/>
      <c r="AJ63" s="550"/>
      <c r="AK63" s="550"/>
    </row>
    <row r="64" spans="1:37" ht="18" hidden="1" customHeight="1">
      <c r="A64" s="550"/>
      <c r="B64" s="492">
        <f>B23-(B32*'Manure and Nutrient Credits'!$D$27)-B42-D47</f>
        <v>0</v>
      </c>
      <c r="C64" s="492">
        <f>C23-(C32*'Manure and Nutrient Credits'!$D$27)-C42</f>
        <v>0</v>
      </c>
      <c r="D64" s="492">
        <f>D23-(D32*'Manure and Nutrient Credits'!$D$27)-D42</f>
        <v>0</v>
      </c>
      <c r="E64" s="563"/>
      <c r="F64" s="492">
        <f>F23-(F32*'Manure and Nutrient Credits'!$D$30)-F42-H47</f>
        <v>0</v>
      </c>
      <c r="G64" s="492">
        <f>G23-(G32*'Manure and Nutrient Credits'!$D$30)-G42</f>
        <v>0</v>
      </c>
      <c r="H64" s="492">
        <f>H23-(H32*'Manure and Nutrient Credits'!$D$30)-H42</f>
        <v>0</v>
      </c>
      <c r="I64" s="563"/>
      <c r="J64" s="492">
        <f>J23-(J32*'Manure and Nutrient Credits'!$D$33)-J42-L47</f>
        <v>0</v>
      </c>
      <c r="K64" s="492">
        <f>K23-(K32*'Manure and Nutrient Credits'!$D$33)-K42</f>
        <v>0</v>
      </c>
      <c r="L64" s="492">
        <f>L23-(L32*'Manure and Nutrient Credits'!$D$33)-L42</f>
        <v>0</v>
      </c>
      <c r="M64" s="550"/>
      <c r="N64" s="550"/>
      <c r="O64" s="550"/>
      <c r="P64" s="550"/>
      <c r="Q64" s="550"/>
      <c r="R64" s="550"/>
      <c r="S64" s="550"/>
      <c r="T64" s="550"/>
      <c r="U64" s="550"/>
      <c r="V64" s="550"/>
      <c r="W64" s="550"/>
      <c r="X64" s="550"/>
      <c r="Y64" s="550"/>
      <c r="Z64" s="550"/>
      <c r="AA64" s="550"/>
      <c r="AB64" s="550"/>
      <c r="AC64" s="550"/>
      <c r="AD64" s="550"/>
      <c r="AE64" s="550"/>
      <c r="AF64" s="550"/>
      <c r="AG64" s="550"/>
      <c r="AH64" s="550"/>
      <c r="AI64" s="550"/>
      <c r="AJ64" s="550"/>
      <c r="AK64" s="550"/>
    </row>
    <row r="65" spans="1:37">
      <c r="A65" s="550"/>
      <c r="B65" s="492">
        <f>MAX(0,B83)</f>
        <v>0</v>
      </c>
      <c r="C65" s="492">
        <f>MAX(0,C83)</f>
        <v>0</v>
      </c>
      <c r="D65" s="492">
        <f>MAX(0,D83)</f>
        <v>0</v>
      </c>
      <c r="E65" s="563"/>
      <c r="F65" s="492">
        <f>MAX(0,F83)</f>
        <v>0</v>
      </c>
      <c r="G65" s="492">
        <f>MAX(0,G83)</f>
        <v>0</v>
      </c>
      <c r="H65" s="492">
        <f>MAX(0,H83)</f>
        <v>0</v>
      </c>
      <c r="I65" s="563"/>
      <c r="J65" s="492">
        <f>MAX(0,J83)</f>
        <v>0</v>
      </c>
      <c r="K65" s="492">
        <f>MAX(0,K83)</f>
        <v>0</v>
      </c>
      <c r="L65" s="492">
        <f>MAX(0,L83)</f>
        <v>0</v>
      </c>
      <c r="M65" s="550"/>
      <c r="N65" s="550"/>
      <c r="O65" s="550"/>
      <c r="P65" s="569"/>
      <c r="Q65" s="550"/>
      <c r="R65" s="550"/>
      <c r="S65" s="550"/>
      <c r="T65" s="550"/>
      <c r="U65" s="550"/>
      <c r="V65" s="550"/>
      <c r="W65" s="550"/>
      <c r="X65" s="550"/>
      <c r="Y65" s="550"/>
      <c r="Z65" s="550"/>
      <c r="AA65" s="550"/>
      <c r="AB65" s="550"/>
      <c r="AC65" s="550"/>
      <c r="AD65" s="550"/>
      <c r="AE65" s="550"/>
      <c r="AF65" s="550"/>
      <c r="AG65" s="550"/>
      <c r="AH65" s="550"/>
      <c r="AI65" s="550"/>
      <c r="AJ65" s="550"/>
      <c r="AK65" s="550"/>
    </row>
    <row r="66" spans="1:37">
      <c r="A66" s="550"/>
      <c r="B66" s="565" t="s">
        <v>115</v>
      </c>
      <c r="C66" s="568" t="s">
        <v>116</v>
      </c>
      <c r="D66" s="567" t="s">
        <v>252</v>
      </c>
      <c r="E66" s="563"/>
      <c r="F66" s="565" t="s">
        <v>115</v>
      </c>
      <c r="G66" s="568" t="s">
        <v>116</v>
      </c>
      <c r="H66" s="567" t="s">
        <v>252</v>
      </c>
      <c r="I66" s="563"/>
      <c r="J66" s="565" t="s">
        <v>115</v>
      </c>
      <c r="K66" s="568" t="s">
        <v>116</v>
      </c>
      <c r="L66" s="567" t="s">
        <v>252</v>
      </c>
      <c r="M66" s="550"/>
      <c r="N66" s="550"/>
      <c r="O66" s="550"/>
      <c r="P66" s="550"/>
      <c r="Q66" s="550"/>
      <c r="R66" s="550"/>
      <c r="S66" s="550"/>
      <c r="T66" s="550"/>
      <c r="U66" s="550"/>
      <c r="V66" s="550"/>
      <c r="W66" s="550"/>
      <c r="X66" s="550"/>
      <c r="Y66" s="550"/>
      <c r="Z66" s="550"/>
      <c r="AA66" s="550"/>
      <c r="AB66" s="550"/>
      <c r="AC66" s="550"/>
      <c r="AD66" s="550"/>
      <c r="AE66" s="550"/>
      <c r="AF66" s="550"/>
      <c r="AG66" s="550"/>
      <c r="AH66" s="550"/>
      <c r="AI66" s="550"/>
      <c r="AJ66" s="550"/>
      <c r="AK66" s="550"/>
    </row>
    <row r="67" spans="1:37" s="149" customFormat="1" hidden="1">
      <c r="A67" s="551"/>
      <c r="B67" s="492">
        <f>B25-(B34*'Manure and Nutrient Credits'!$D$27)</f>
        <v>0</v>
      </c>
      <c r="C67" s="492">
        <f>C25</f>
        <v>0</v>
      </c>
      <c r="D67" s="492">
        <f>D25</f>
        <v>0</v>
      </c>
      <c r="E67" s="563"/>
      <c r="F67" s="492">
        <f>F25-(F34*'Manure and Nutrient Credits'!$D$30)</f>
        <v>0</v>
      </c>
      <c r="G67" s="492">
        <f>G25</f>
        <v>0</v>
      </c>
      <c r="H67" s="492">
        <f>H25</f>
        <v>0</v>
      </c>
      <c r="I67" s="563"/>
      <c r="J67" s="492">
        <f>J25-(J34*'Manure and Nutrient Credits'!$D$33)</f>
        <v>0</v>
      </c>
      <c r="K67" s="492">
        <f>K25</f>
        <v>0</v>
      </c>
      <c r="L67" s="492">
        <f>L25</f>
        <v>0</v>
      </c>
      <c r="M67" s="551"/>
      <c r="N67" s="551"/>
      <c r="O67" s="551"/>
      <c r="P67" s="551"/>
      <c r="Q67" s="551"/>
      <c r="R67" s="551"/>
      <c r="S67" s="551"/>
      <c r="T67" s="551"/>
      <c r="U67" s="551"/>
      <c r="V67" s="551"/>
      <c r="W67" s="551"/>
      <c r="X67" s="551"/>
      <c r="Y67" s="551"/>
      <c r="Z67" s="551"/>
      <c r="AA67" s="551"/>
      <c r="AB67" s="551"/>
      <c r="AC67" s="551"/>
      <c r="AD67" s="551"/>
      <c r="AE67" s="551"/>
      <c r="AF67" s="551"/>
      <c r="AG67" s="551"/>
      <c r="AH67" s="551"/>
      <c r="AI67" s="551"/>
      <c r="AJ67" s="551"/>
      <c r="AK67" s="551"/>
    </row>
    <row r="68" spans="1:37">
      <c r="A68" s="550"/>
      <c r="B68" s="566">
        <f>MAX(0,B67)</f>
        <v>0</v>
      </c>
      <c r="C68" s="566">
        <f>MAX(0,C67)</f>
        <v>0</v>
      </c>
      <c r="D68" s="566">
        <f>MAX(0,D67)</f>
        <v>0</v>
      </c>
      <c r="E68" s="563"/>
      <c r="F68" s="566">
        <f>MAX(0,F67)</f>
        <v>0</v>
      </c>
      <c r="G68" s="566">
        <f>MAX(0,G67)</f>
        <v>0</v>
      </c>
      <c r="H68" s="566">
        <f>MAX(0,H67)</f>
        <v>0</v>
      </c>
      <c r="I68" s="563"/>
      <c r="J68" s="566">
        <f>MAX(0,J67)</f>
        <v>0</v>
      </c>
      <c r="K68" s="566">
        <f>MAX(0,K67)</f>
        <v>0</v>
      </c>
      <c r="L68" s="566">
        <f>MAX(0,L67)</f>
        <v>0</v>
      </c>
      <c r="M68" s="550"/>
      <c r="N68" s="550"/>
      <c r="O68" s="550"/>
      <c r="P68" s="550"/>
      <c r="Q68" s="550"/>
      <c r="R68" s="550"/>
      <c r="S68" s="550"/>
      <c r="T68" s="550"/>
      <c r="U68" s="550"/>
      <c r="V68" s="550"/>
      <c r="W68" s="550"/>
      <c r="X68" s="550"/>
      <c r="Y68" s="550"/>
      <c r="Z68" s="550"/>
      <c r="AA68" s="550"/>
      <c r="AB68" s="550"/>
      <c r="AC68" s="550"/>
      <c r="AD68" s="550"/>
      <c r="AE68" s="550"/>
      <c r="AF68" s="550"/>
      <c r="AG68" s="550"/>
      <c r="AH68" s="550"/>
      <c r="AI68" s="550"/>
      <c r="AJ68" s="550"/>
      <c r="AK68" s="550"/>
    </row>
    <row r="69" spans="1:37">
      <c r="A69" s="550"/>
      <c r="B69" s="565" t="s">
        <v>118</v>
      </c>
      <c r="C69" s="565" t="s">
        <v>119</v>
      </c>
      <c r="D69" s="565" t="s">
        <v>120</v>
      </c>
      <c r="E69" s="410"/>
      <c r="F69" s="565" t="s">
        <v>118</v>
      </c>
      <c r="G69" s="565" t="s">
        <v>119</v>
      </c>
      <c r="H69" s="565" t="s">
        <v>120</v>
      </c>
      <c r="I69" s="410"/>
      <c r="J69" s="565" t="s">
        <v>118</v>
      </c>
      <c r="K69" s="565" t="s">
        <v>119</v>
      </c>
      <c r="L69" s="565" t="s">
        <v>120</v>
      </c>
      <c r="M69" s="550"/>
      <c r="N69" s="550"/>
      <c r="O69" s="550"/>
      <c r="P69" s="550"/>
      <c r="Q69" s="550"/>
      <c r="R69" s="550"/>
      <c r="S69" s="550"/>
      <c r="T69" s="550"/>
      <c r="U69" s="550"/>
      <c r="V69" s="550"/>
      <c r="W69" s="550"/>
      <c r="X69" s="550"/>
      <c r="Y69" s="550"/>
      <c r="Z69" s="550"/>
      <c r="AA69" s="550"/>
      <c r="AB69" s="550"/>
      <c r="AC69" s="550"/>
      <c r="AD69" s="550"/>
      <c r="AE69" s="550"/>
      <c r="AF69" s="550"/>
      <c r="AG69" s="550"/>
      <c r="AH69" s="550"/>
      <c r="AI69" s="550"/>
      <c r="AJ69" s="550"/>
      <c r="AK69" s="550"/>
    </row>
    <row r="70" spans="1:37">
      <c r="A70" s="550"/>
      <c r="B70" s="492">
        <v>0</v>
      </c>
      <c r="C70" s="492">
        <v>0</v>
      </c>
      <c r="D70" s="492">
        <v>0</v>
      </c>
      <c r="E70" s="410"/>
      <c r="F70" s="492">
        <v>0</v>
      </c>
      <c r="G70" s="492">
        <v>0</v>
      </c>
      <c r="H70" s="492">
        <v>0</v>
      </c>
      <c r="I70" s="410"/>
      <c r="J70" s="492">
        <v>0</v>
      </c>
      <c r="K70" s="492">
        <v>0</v>
      </c>
      <c r="L70" s="492">
        <v>0</v>
      </c>
      <c r="M70" s="550"/>
      <c r="N70" s="550"/>
      <c r="O70" s="550"/>
      <c r="P70" s="550"/>
      <c r="Q70" s="550"/>
      <c r="R70" s="550"/>
      <c r="S70" s="550"/>
      <c r="T70" s="550"/>
      <c r="U70" s="550"/>
      <c r="V70" s="550"/>
      <c r="W70" s="550"/>
      <c r="X70" s="550"/>
      <c r="Y70" s="550"/>
      <c r="Z70" s="550"/>
      <c r="AA70" s="550"/>
      <c r="AB70" s="550"/>
      <c r="AC70" s="550"/>
      <c r="AD70" s="550"/>
      <c r="AE70" s="550"/>
      <c r="AF70" s="550"/>
      <c r="AG70" s="550"/>
      <c r="AH70" s="550"/>
      <c r="AI70" s="550"/>
      <c r="AJ70" s="550"/>
      <c r="AK70" s="550"/>
    </row>
    <row r="71" spans="1:37" s="149" customFormat="1">
      <c r="A71" s="551"/>
      <c r="B71" s="564"/>
      <c r="C71" s="556"/>
      <c r="D71" s="556"/>
      <c r="E71" s="563"/>
      <c r="F71" s="556"/>
      <c r="G71" s="556"/>
      <c r="H71" s="556"/>
      <c r="I71" s="563"/>
      <c r="J71" s="556"/>
      <c r="K71" s="556"/>
      <c r="L71" s="562"/>
      <c r="M71" s="551"/>
      <c r="N71" s="551"/>
      <c r="O71" s="551"/>
      <c r="P71" s="551"/>
      <c r="Q71" s="551"/>
      <c r="R71" s="551"/>
      <c r="S71" s="551"/>
      <c r="T71" s="551"/>
      <c r="U71" s="551"/>
      <c r="V71" s="551"/>
      <c r="W71" s="551"/>
      <c r="X71" s="551"/>
      <c r="Y71" s="551"/>
      <c r="Z71" s="551"/>
      <c r="AA71" s="551"/>
      <c r="AB71" s="551"/>
      <c r="AC71" s="551"/>
      <c r="AD71" s="551"/>
      <c r="AE71" s="551"/>
      <c r="AF71" s="551"/>
      <c r="AG71" s="551"/>
      <c r="AH71" s="551"/>
      <c r="AI71" s="551"/>
      <c r="AJ71" s="551"/>
      <c r="AK71" s="551"/>
    </row>
    <row r="72" spans="1:37" s="149" customFormat="1">
      <c r="A72" s="551"/>
      <c r="B72" s="561"/>
      <c r="C72" s="550"/>
      <c r="D72" s="550"/>
      <c r="E72" s="550"/>
      <c r="F72" s="550"/>
      <c r="G72" s="550"/>
      <c r="H72" s="550"/>
      <c r="I72" s="560"/>
      <c r="J72" s="765" t="s">
        <v>746</v>
      </c>
      <c r="K72" s="766"/>
      <c r="L72" s="767"/>
      <c r="M72" s="551"/>
      <c r="N72" s="551"/>
      <c r="O72" s="551"/>
      <c r="P72" s="551"/>
      <c r="Q72" s="551"/>
      <c r="R72" s="551"/>
      <c r="S72" s="551"/>
      <c r="T72" s="551"/>
      <c r="U72" s="551"/>
      <c r="V72" s="551"/>
      <c r="W72" s="551"/>
      <c r="X72" s="551"/>
      <c r="Y72" s="551"/>
      <c r="Z72" s="551"/>
      <c r="AA72" s="551"/>
      <c r="AB72" s="551"/>
      <c r="AC72" s="551"/>
      <c r="AD72" s="551"/>
      <c r="AE72" s="551"/>
      <c r="AF72" s="551"/>
      <c r="AG72" s="551"/>
      <c r="AH72" s="551"/>
      <c r="AI72" s="551"/>
      <c r="AJ72" s="551"/>
      <c r="AK72" s="551"/>
    </row>
    <row r="73" spans="1:37" s="149" customFormat="1">
      <c r="A73" s="551"/>
      <c r="B73" s="559"/>
      <c r="C73" s="558"/>
      <c r="D73" s="558"/>
      <c r="E73" s="558"/>
      <c r="F73" s="558"/>
      <c r="G73" s="558"/>
      <c r="H73" s="558"/>
      <c r="I73" s="558"/>
      <c r="J73" s="558"/>
      <c r="K73" s="558"/>
      <c r="L73" s="557"/>
      <c r="M73" s="551"/>
      <c r="N73" s="551"/>
      <c r="O73" s="551"/>
      <c r="P73" s="551"/>
      <c r="Q73" s="551"/>
      <c r="R73" s="551"/>
      <c r="S73" s="551"/>
      <c r="T73" s="551"/>
      <c r="U73" s="551"/>
      <c r="V73" s="551"/>
      <c r="W73" s="551"/>
      <c r="X73" s="551"/>
      <c r="Y73" s="551"/>
      <c r="Z73" s="551"/>
      <c r="AA73" s="551"/>
      <c r="AB73" s="551"/>
      <c r="AC73" s="551"/>
      <c r="AD73" s="551"/>
      <c r="AE73" s="551"/>
      <c r="AF73" s="551"/>
      <c r="AG73" s="551"/>
      <c r="AH73" s="551"/>
      <c r="AI73" s="551"/>
      <c r="AJ73" s="551"/>
      <c r="AK73" s="551"/>
    </row>
    <row r="74" spans="1:37" s="149" customFormat="1" ht="18" customHeight="1">
      <c r="A74" s="551"/>
      <c r="B74" s="768" t="s">
        <v>662</v>
      </c>
      <c r="C74" s="768"/>
      <c r="D74" s="768"/>
      <c r="E74" s="768"/>
      <c r="F74" s="768"/>
      <c r="G74" s="768"/>
      <c r="H74" s="768"/>
      <c r="I74" s="768"/>
      <c r="J74" s="768"/>
      <c r="K74" s="768"/>
      <c r="L74" s="768"/>
      <c r="M74" s="551"/>
      <c r="N74" s="551"/>
      <c r="O74" s="551"/>
      <c r="P74" s="551"/>
      <c r="Q74" s="551"/>
      <c r="R74" s="551"/>
      <c r="S74" s="551"/>
      <c r="T74" s="551"/>
      <c r="U74" s="551"/>
      <c r="V74" s="551"/>
      <c r="W74" s="551"/>
      <c r="X74" s="551"/>
      <c r="Y74" s="551"/>
      <c r="Z74" s="551"/>
      <c r="AA74" s="551"/>
      <c r="AB74" s="551"/>
      <c r="AC74" s="551"/>
      <c r="AD74" s="551"/>
      <c r="AE74" s="551"/>
      <c r="AF74" s="551"/>
      <c r="AG74" s="551"/>
      <c r="AH74" s="551"/>
      <c r="AI74" s="551"/>
      <c r="AJ74" s="551"/>
      <c r="AK74" s="551"/>
    </row>
    <row r="75" spans="1:37" s="149" customFormat="1">
      <c r="A75" s="551"/>
      <c r="B75" s="550"/>
      <c r="C75" s="550"/>
      <c r="D75" s="550"/>
      <c r="E75" s="550"/>
      <c r="F75" s="550"/>
      <c r="G75" s="550"/>
      <c r="H75" s="550"/>
      <c r="I75" s="550"/>
      <c r="J75" s="550"/>
      <c r="K75" s="550"/>
      <c r="L75" s="550"/>
      <c r="M75" s="551"/>
      <c r="N75" s="551"/>
      <c r="O75" s="551"/>
      <c r="P75" s="551"/>
      <c r="Q75" s="551"/>
      <c r="R75" s="551"/>
      <c r="S75" s="551"/>
      <c r="T75" s="551"/>
      <c r="U75" s="551"/>
      <c r="V75" s="551"/>
      <c r="W75" s="551"/>
      <c r="X75" s="551"/>
      <c r="Y75" s="551"/>
      <c r="Z75" s="551"/>
      <c r="AA75" s="551"/>
      <c r="AB75" s="551"/>
      <c r="AC75" s="551"/>
      <c r="AD75" s="551"/>
      <c r="AE75" s="551"/>
      <c r="AF75" s="551"/>
      <c r="AG75" s="551"/>
      <c r="AH75" s="551"/>
      <c r="AI75" s="551"/>
      <c r="AJ75" s="551"/>
      <c r="AK75" s="551"/>
    </row>
    <row r="76" spans="1:37" s="149" customFormat="1" hidden="1">
      <c r="A76" s="551"/>
      <c r="B76" s="550" t="s">
        <v>745</v>
      </c>
      <c r="C76" s="550"/>
      <c r="D76" s="550"/>
      <c r="E76" s="556"/>
      <c r="F76" s="550" t="s">
        <v>745</v>
      </c>
      <c r="G76" s="550"/>
      <c r="H76" s="550"/>
      <c r="I76" s="556"/>
      <c r="J76" s="550" t="s">
        <v>745</v>
      </c>
      <c r="K76" s="550"/>
      <c r="L76" s="550"/>
      <c r="M76" s="551"/>
      <c r="N76" s="551"/>
      <c r="O76" s="551"/>
      <c r="P76" s="551"/>
      <c r="Q76" s="551"/>
      <c r="R76" s="551"/>
      <c r="S76" s="551"/>
      <c r="T76" s="551"/>
      <c r="U76" s="551"/>
      <c r="V76" s="551"/>
      <c r="W76" s="551"/>
      <c r="X76" s="551"/>
      <c r="Y76" s="551"/>
      <c r="Z76" s="551"/>
      <c r="AA76" s="551"/>
      <c r="AB76" s="551"/>
      <c r="AC76" s="551"/>
      <c r="AD76" s="551"/>
      <c r="AE76" s="551"/>
      <c r="AF76" s="551"/>
      <c r="AG76" s="551"/>
      <c r="AH76" s="551"/>
      <c r="AI76" s="551"/>
      <c r="AJ76" s="551"/>
      <c r="AK76" s="551"/>
    </row>
    <row r="77" spans="1:37" s="149" customFormat="1" hidden="1">
      <c r="A77" s="551"/>
      <c r="B77" s="555">
        <f>B12-(B32*'Manure and Nutrient Credits'!$D$27)-B42-D47</f>
        <v>0</v>
      </c>
      <c r="C77" s="555">
        <f>C12-(C32*'Manure and Nutrient Credits'!$D$27)-C42</f>
        <v>0</v>
      </c>
      <c r="D77" s="555">
        <f>D12-(D32*'Manure and Nutrient Credits'!$D$27)-D42</f>
        <v>0</v>
      </c>
      <c r="E77" s="554"/>
      <c r="F77" s="555">
        <f>F12-(F32*'Manure and Nutrient Credits'!$D$30)-F42-H47</f>
        <v>0</v>
      </c>
      <c r="G77" s="555">
        <f>G12-(G32*'Manure and Nutrient Credits'!$D$30)-G42</f>
        <v>0</v>
      </c>
      <c r="H77" s="555">
        <f>H12-(H32*'Manure and Nutrient Credits'!$D$30)-H42</f>
        <v>0</v>
      </c>
      <c r="I77" s="554"/>
      <c r="J77" s="555">
        <f>J12-(J32*'Manure and Nutrient Credits'!$D$33)-J42-L47</f>
        <v>0</v>
      </c>
      <c r="K77" s="555">
        <f>K12-(K32*'Manure and Nutrient Credits'!$D$33)-K42</f>
        <v>0</v>
      </c>
      <c r="L77" s="555">
        <f>L12-(L32*'Manure and Nutrient Credits'!$D$33)-L42</f>
        <v>0</v>
      </c>
      <c r="M77" s="551"/>
      <c r="N77" s="551"/>
      <c r="O77" s="551"/>
      <c r="P77" s="551"/>
      <c r="Q77" s="551"/>
      <c r="R77" s="551"/>
      <c r="S77" s="551"/>
      <c r="T77" s="551"/>
      <c r="U77" s="551"/>
      <c r="V77" s="551"/>
      <c r="W77" s="551"/>
      <c r="X77" s="551"/>
      <c r="Y77" s="551"/>
      <c r="Z77" s="551"/>
      <c r="AA77" s="551"/>
      <c r="AB77" s="551"/>
      <c r="AC77" s="551"/>
      <c r="AD77" s="551"/>
      <c r="AE77" s="551"/>
      <c r="AF77" s="551"/>
      <c r="AG77" s="551"/>
      <c r="AH77" s="551"/>
      <c r="AI77" s="551"/>
      <c r="AJ77" s="551"/>
      <c r="AK77" s="551"/>
    </row>
    <row r="78" spans="1:37" s="149" customFormat="1" hidden="1">
      <c r="A78" s="551"/>
      <c r="B78" s="553">
        <f>MAX(0,B77)</f>
        <v>0</v>
      </c>
      <c r="C78" s="553">
        <f>MAX(0,C77)</f>
        <v>0</v>
      </c>
      <c r="D78" s="553">
        <f>MAX(0,D77)</f>
        <v>0</v>
      </c>
      <c r="E78" s="554"/>
      <c r="F78" s="553">
        <f>MAX(0,F77)</f>
        <v>0</v>
      </c>
      <c r="G78" s="553">
        <f>MAX(0,G77)</f>
        <v>0</v>
      </c>
      <c r="H78" s="553">
        <f>MAX(0,H77)</f>
        <v>0</v>
      </c>
      <c r="I78" s="554"/>
      <c r="J78" s="553">
        <f>MAX(0,J77)</f>
        <v>0</v>
      </c>
      <c r="K78" s="553">
        <f>MAX(0,K77)</f>
        <v>0</v>
      </c>
      <c r="L78" s="553">
        <f>MAX(0,L77)</f>
        <v>0</v>
      </c>
      <c r="M78" s="551"/>
      <c r="N78" s="551"/>
      <c r="O78" s="551"/>
      <c r="P78" s="551"/>
      <c r="Q78" s="551"/>
      <c r="R78" s="551"/>
      <c r="S78" s="551"/>
      <c r="T78" s="551"/>
      <c r="U78" s="551"/>
      <c r="V78" s="551"/>
      <c r="W78" s="551"/>
      <c r="X78" s="551"/>
      <c r="Y78" s="551"/>
      <c r="Z78" s="551"/>
      <c r="AA78" s="551"/>
      <c r="AB78" s="551"/>
      <c r="AC78" s="551"/>
      <c r="AD78" s="551"/>
      <c r="AE78" s="551"/>
      <c r="AF78" s="551"/>
      <c r="AG78" s="551"/>
      <c r="AH78" s="551"/>
      <c r="AI78" s="551"/>
      <c r="AJ78" s="551"/>
      <c r="AK78" s="551"/>
    </row>
    <row r="79" spans="1:37" s="149" customFormat="1" hidden="1">
      <c r="A79" s="551"/>
      <c r="B79" s="555">
        <f>B14-(B34*'Manure and Nutrient Credits'!$D$27)</f>
        <v>0</v>
      </c>
      <c r="C79" s="555"/>
      <c r="D79" s="555"/>
      <c r="E79" s="554"/>
      <c r="F79" s="555">
        <f>F14-(F34*'Manure and Nutrient Credits'!$D$30)</f>
        <v>0</v>
      </c>
      <c r="G79" s="555"/>
      <c r="H79" s="555"/>
      <c r="I79" s="554"/>
      <c r="J79" s="555">
        <f>J14-(J34*'Manure and Nutrient Credits'!$D$33)</f>
        <v>0</v>
      </c>
      <c r="K79" s="555"/>
      <c r="L79" s="555"/>
      <c r="M79" s="551"/>
      <c r="N79" s="551"/>
      <c r="O79" s="551"/>
      <c r="P79" s="551"/>
      <c r="Q79" s="551"/>
      <c r="R79" s="551"/>
      <c r="S79" s="551"/>
      <c r="T79" s="551"/>
      <c r="U79" s="551"/>
      <c r="V79" s="551"/>
      <c r="W79" s="551"/>
      <c r="X79" s="551"/>
      <c r="Y79" s="551"/>
      <c r="Z79" s="551"/>
      <c r="AA79" s="551"/>
      <c r="AB79" s="551"/>
      <c r="AC79" s="551"/>
      <c r="AD79" s="551"/>
      <c r="AE79" s="551"/>
      <c r="AF79" s="551"/>
      <c r="AG79" s="551"/>
      <c r="AH79" s="551"/>
      <c r="AI79" s="551"/>
      <c r="AJ79" s="551"/>
      <c r="AK79" s="551"/>
    </row>
    <row r="80" spans="1:37" s="149" customFormat="1" hidden="1">
      <c r="A80" s="551"/>
      <c r="B80" s="553">
        <f>MAX(0,B79)</f>
        <v>0</v>
      </c>
      <c r="C80" s="551"/>
      <c r="D80" s="551"/>
      <c r="E80" s="554"/>
      <c r="F80" s="553">
        <f>MAX(0,F79)</f>
        <v>0</v>
      </c>
      <c r="G80" s="551"/>
      <c r="H80" s="551"/>
      <c r="I80" s="554"/>
      <c r="J80" s="553">
        <f>MAX(0,J79)</f>
        <v>0</v>
      </c>
      <c r="K80" s="551"/>
      <c r="L80" s="551"/>
      <c r="M80" s="551"/>
      <c r="N80" s="551"/>
      <c r="O80" s="551"/>
      <c r="P80" s="551"/>
      <c r="Q80" s="551"/>
      <c r="R80" s="551"/>
      <c r="S80" s="551"/>
      <c r="T80" s="551"/>
      <c r="U80" s="551"/>
      <c r="V80" s="551"/>
      <c r="W80" s="551"/>
      <c r="X80" s="551"/>
      <c r="Y80" s="551"/>
      <c r="Z80" s="551"/>
      <c r="AA80" s="551"/>
      <c r="AB80" s="551"/>
      <c r="AC80" s="551"/>
      <c r="AD80" s="551"/>
      <c r="AE80" s="551"/>
      <c r="AF80" s="551"/>
      <c r="AG80" s="551"/>
      <c r="AH80" s="551"/>
      <c r="AI80" s="551"/>
      <c r="AJ80" s="551"/>
      <c r="AK80" s="551"/>
    </row>
    <row r="81" spans="1:37" hidden="1">
      <c r="A81" s="550"/>
      <c r="B81" s="551"/>
      <c r="C81" s="551"/>
      <c r="D81" s="551"/>
      <c r="E81" s="551"/>
      <c r="F81" s="551"/>
      <c r="G81" s="551"/>
      <c r="H81" s="551"/>
      <c r="I81" s="551"/>
      <c r="J81" s="551"/>
      <c r="K81" s="551"/>
      <c r="L81" s="551"/>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550"/>
      <c r="AK81" s="550"/>
    </row>
    <row r="82" spans="1:37" hidden="1">
      <c r="A82" s="550"/>
      <c r="B82" s="551" t="s">
        <v>721</v>
      </c>
      <c r="C82" s="551"/>
      <c r="D82" s="551"/>
      <c r="E82" s="551"/>
      <c r="F82" s="551" t="s">
        <v>721</v>
      </c>
      <c r="G82" s="551"/>
      <c r="H82" s="551"/>
      <c r="I82" s="551"/>
      <c r="J82" s="551" t="s">
        <v>721</v>
      </c>
      <c r="K82" s="551"/>
      <c r="L82" s="551"/>
      <c r="M82" s="550"/>
      <c r="N82" s="550"/>
      <c r="O82" s="550"/>
      <c r="P82" s="550"/>
      <c r="Q82" s="550"/>
      <c r="R82" s="550"/>
      <c r="S82" s="550"/>
      <c r="T82" s="550"/>
      <c r="U82" s="550"/>
      <c r="V82" s="550"/>
      <c r="W82" s="550"/>
      <c r="X82" s="550"/>
      <c r="Y82" s="550"/>
      <c r="Z82" s="550"/>
      <c r="AA82" s="550"/>
      <c r="AB82" s="550"/>
      <c r="AC82" s="550"/>
      <c r="AD82" s="550"/>
      <c r="AE82" s="550"/>
      <c r="AF82" s="550"/>
      <c r="AG82" s="550"/>
      <c r="AH82" s="550"/>
      <c r="AI82" s="550"/>
      <c r="AJ82" s="550"/>
      <c r="AK82" s="550"/>
    </row>
    <row r="83" spans="1:37" hidden="1">
      <c r="A83" s="550"/>
      <c r="B83" s="553">
        <f>B23-(B32*'Manure and Nutrient Credits'!$D$27)-B42-D47</f>
        <v>0</v>
      </c>
      <c r="C83" s="553">
        <f>C23-(C32*'Manure and Nutrient Credits'!$D$27)-C42</f>
        <v>0</v>
      </c>
      <c r="D83" s="552">
        <f>D23-(D32*'Manure and Nutrient Credits'!$D$27)-D42</f>
        <v>0</v>
      </c>
      <c r="E83" s="551"/>
      <c r="F83" s="552">
        <f>F23-(F32*'Manure and Nutrient Credits'!$D$30)-F42-H47</f>
        <v>0</v>
      </c>
      <c r="G83" s="552">
        <f>G23-(G32*'Manure and Nutrient Credits'!$D$30)-G42</f>
        <v>0</v>
      </c>
      <c r="H83" s="552">
        <f>H23-(H32*'Manure and Nutrient Credits'!$D$30)-H42</f>
        <v>0</v>
      </c>
      <c r="I83" s="552"/>
      <c r="J83" s="552">
        <f>J23-(J32*'Manure and Nutrient Credits'!$D$33)-J42-L47</f>
        <v>0</v>
      </c>
      <c r="K83" s="552">
        <f>K23-(K32*'Manure and Nutrient Credits'!$D$33)-K42</f>
        <v>0</v>
      </c>
      <c r="L83" s="552">
        <f>L23-(L32*'Manure and Nutrient Credits'!$D$33)-L42</f>
        <v>0</v>
      </c>
      <c r="M83" s="550"/>
      <c r="N83" s="550"/>
      <c r="O83" s="550"/>
      <c r="P83" s="550"/>
      <c r="Q83" s="550"/>
      <c r="R83" s="550"/>
      <c r="S83" s="550"/>
      <c r="T83" s="550"/>
      <c r="U83" s="550"/>
      <c r="V83" s="550"/>
      <c r="W83" s="550"/>
      <c r="X83" s="550"/>
      <c r="Y83" s="550"/>
      <c r="Z83" s="550"/>
      <c r="AA83" s="550"/>
      <c r="AB83" s="550"/>
      <c r="AC83" s="550"/>
      <c r="AD83" s="550"/>
      <c r="AE83" s="550"/>
      <c r="AF83" s="550"/>
      <c r="AG83" s="550"/>
      <c r="AH83" s="550"/>
      <c r="AI83" s="550"/>
      <c r="AJ83" s="550"/>
      <c r="AK83" s="550"/>
    </row>
    <row r="84" spans="1:37" hidden="1">
      <c r="A84" s="550"/>
      <c r="B84" s="553">
        <f>MAX(0,B83)</f>
        <v>0</v>
      </c>
      <c r="C84" s="553">
        <f>MAX(0,C83)</f>
        <v>0</v>
      </c>
      <c r="D84" s="553">
        <f>MAX(0,D83)</f>
        <v>0</v>
      </c>
      <c r="E84" s="551"/>
      <c r="F84" s="553">
        <f>MAX(0,F83)</f>
        <v>0</v>
      </c>
      <c r="G84" s="553">
        <f>MAX(0,G83)</f>
        <v>0</v>
      </c>
      <c r="H84" s="553">
        <f>MAX(0,H83)</f>
        <v>0</v>
      </c>
      <c r="I84" s="552"/>
      <c r="J84" s="553">
        <f>MAX(0,J83)</f>
        <v>0</v>
      </c>
      <c r="K84" s="553">
        <f>MAX(0,K83)</f>
        <v>0</v>
      </c>
      <c r="L84" s="553">
        <f>MAX(0,L83)</f>
        <v>0</v>
      </c>
      <c r="M84" s="550"/>
      <c r="N84" s="550"/>
      <c r="O84" s="550"/>
      <c r="P84" s="550"/>
      <c r="Q84" s="550"/>
      <c r="R84" s="550"/>
      <c r="S84" s="550"/>
      <c r="T84" s="550"/>
      <c r="U84" s="550"/>
      <c r="V84" s="550"/>
      <c r="W84" s="550"/>
      <c r="X84" s="550"/>
      <c r="Y84" s="550"/>
      <c r="Z84" s="550"/>
      <c r="AA84" s="550"/>
      <c r="AB84" s="550"/>
      <c r="AC84" s="550"/>
      <c r="AD84" s="550"/>
      <c r="AE84" s="550"/>
      <c r="AF84" s="550"/>
      <c r="AG84" s="550"/>
      <c r="AH84" s="550"/>
      <c r="AI84" s="550"/>
      <c r="AJ84" s="550"/>
      <c r="AK84" s="550"/>
    </row>
    <row r="85" spans="1:37" hidden="1">
      <c r="A85" s="550"/>
      <c r="B85" s="553">
        <f>B25-(B34*'Manure and Nutrient Credits'!$D$27)</f>
        <v>0</v>
      </c>
      <c r="C85" s="551"/>
      <c r="D85" s="551"/>
      <c r="E85" s="551"/>
      <c r="F85" s="552">
        <f>F25-(F34*'Manure and Nutrient Credits'!$D$30)</f>
        <v>0</v>
      </c>
      <c r="G85" s="552"/>
      <c r="H85" s="552"/>
      <c r="I85" s="552"/>
      <c r="J85" s="552">
        <f>J25-(J34*'Manure and Nutrient Credits'!$D$33)</f>
        <v>0</v>
      </c>
      <c r="K85" s="552"/>
      <c r="L85" s="552"/>
      <c r="M85" s="550"/>
      <c r="N85" s="550"/>
      <c r="O85" s="550"/>
      <c r="P85" s="550"/>
      <c r="Q85" s="550"/>
      <c r="R85" s="550"/>
      <c r="S85" s="550"/>
      <c r="T85" s="550"/>
      <c r="U85" s="550"/>
      <c r="V85" s="550"/>
      <c r="W85" s="550"/>
      <c r="X85" s="550"/>
      <c r="Y85" s="550"/>
      <c r="Z85" s="550"/>
      <c r="AA85" s="550"/>
      <c r="AB85" s="550"/>
      <c r="AC85" s="550"/>
      <c r="AD85" s="550"/>
      <c r="AE85" s="550"/>
      <c r="AF85" s="550"/>
      <c r="AG85" s="550"/>
      <c r="AH85" s="550"/>
      <c r="AI85" s="550"/>
      <c r="AJ85" s="550"/>
      <c r="AK85" s="550"/>
    </row>
    <row r="86" spans="1:37" hidden="1">
      <c r="A86" s="550"/>
      <c r="B86" s="553">
        <f>MAX(0,B85)</f>
        <v>0</v>
      </c>
      <c r="C86" s="551"/>
      <c r="D86" s="551"/>
      <c r="E86" s="551"/>
      <c r="F86" s="553">
        <f>MAX(0,F85)</f>
        <v>0</v>
      </c>
      <c r="G86" s="552"/>
      <c r="H86" s="552"/>
      <c r="I86" s="552"/>
      <c r="J86" s="553">
        <f>MAX(0,J85)</f>
        <v>0</v>
      </c>
      <c r="K86" s="552"/>
      <c r="L86" s="552"/>
      <c r="M86" s="550"/>
      <c r="N86" s="550"/>
      <c r="O86" s="550"/>
      <c r="P86" s="550"/>
      <c r="Q86" s="550"/>
      <c r="R86" s="550"/>
      <c r="S86" s="550"/>
      <c r="T86" s="550"/>
      <c r="U86" s="550"/>
      <c r="V86" s="550"/>
      <c r="W86" s="550"/>
      <c r="X86" s="550"/>
      <c r="Y86" s="550"/>
      <c r="Z86" s="550"/>
      <c r="AA86" s="550"/>
      <c r="AB86" s="550"/>
      <c r="AC86" s="550"/>
      <c r="AD86" s="550"/>
      <c r="AE86" s="550"/>
      <c r="AF86" s="550"/>
      <c r="AG86" s="550"/>
      <c r="AH86" s="550"/>
      <c r="AI86" s="550"/>
      <c r="AJ86" s="550"/>
      <c r="AK86" s="550"/>
    </row>
    <row r="87" spans="1:37">
      <c r="A87" s="550"/>
      <c r="B87" s="551"/>
      <c r="C87" s="551"/>
      <c r="D87" s="551"/>
      <c r="E87" s="551"/>
      <c r="F87" s="551"/>
      <c r="G87" s="551"/>
      <c r="H87" s="551"/>
      <c r="I87" s="551"/>
      <c r="J87" s="551"/>
      <c r="K87" s="551"/>
      <c r="L87" s="551"/>
      <c r="M87" s="550"/>
      <c r="N87" s="550"/>
      <c r="O87" s="550"/>
      <c r="P87" s="550"/>
      <c r="Q87" s="550"/>
      <c r="R87" s="550"/>
      <c r="S87" s="550"/>
      <c r="T87" s="550"/>
      <c r="U87" s="550"/>
      <c r="V87" s="550"/>
      <c r="W87" s="550"/>
      <c r="X87" s="550"/>
      <c r="Y87" s="550"/>
      <c r="Z87" s="550"/>
      <c r="AA87" s="550"/>
      <c r="AB87" s="550"/>
      <c r="AC87" s="550"/>
      <c r="AD87" s="550"/>
      <c r="AE87" s="550"/>
      <c r="AF87" s="550"/>
      <c r="AG87" s="550"/>
      <c r="AH87" s="550"/>
      <c r="AI87" s="550"/>
      <c r="AJ87" s="550"/>
      <c r="AK87" s="550"/>
    </row>
    <row r="88" spans="1:37">
      <c r="A88" s="550"/>
      <c r="B88" s="550"/>
      <c r="C88" s="550"/>
      <c r="D88" s="550"/>
      <c r="E88" s="550"/>
      <c r="F88" s="550"/>
      <c r="G88" s="550"/>
      <c r="H88" s="550"/>
      <c r="I88" s="550"/>
      <c r="J88" s="550"/>
      <c r="K88" s="550"/>
      <c r="L88" s="550"/>
      <c r="M88" s="550"/>
      <c r="N88" s="550"/>
      <c r="O88" s="550"/>
      <c r="P88" s="550"/>
      <c r="Q88" s="550"/>
      <c r="R88" s="550"/>
      <c r="S88" s="550"/>
      <c r="T88" s="550"/>
      <c r="U88" s="550"/>
      <c r="V88" s="550"/>
      <c r="W88" s="550"/>
      <c r="X88" s="550"/>
      <c r="Y88" s="550"/>
      <c r="Z88" s="550"/>
      <c r="AA88" s="550"/>
      <c r="AB88" s="550"/>
      <c r="AC88" s="550"/>
      <c r="AD88" s="550"/>
      <c r="AE88" s="550"/>
      <c r="AF88" s="550"/>
      <c r="AG88" s="550"/>
      <c r="AH88" s="550"/>
      <c r="AI88" s="550"/>
      <c r="AJ88" s="550"/>
      <c r="AK88" s="550"/>
    </row>
    <row r="89" spans="1:37">
      <c r="A89" s="550"/>
      <c r="B89" s="550"/>
      <c r="C89" s="550"/>
      <c r="D89" s="550"/>
      <c r="E89" s="550"/>
      <c r="F89" s="550"/>
      <c r="G89" s="550"/>
      <c r="H89" s="550"/>
      <c r="I89" s="550"/>
      <c r="J89" s="550"/>
      <c r="K89" s="550"/>
      <c r="L89" s="550"/>
      <c r="M89" s="550"/>
      <c r="N89" s="550"/>
      <c r="O89" s="550"/>
      <c r="P89" s="550"/>
      <c r="Q89" s="550"/>
      <c r="R89" s="550"/>
      <c r="S89" s="550"/>
      <c r="T89" s="550"/>
      <c r="U89" s="550"/>
      <c r="V89" s="550"/>
      <c r="W89" s="550"/>
      <c r="X89" s="550"/>
      <c r="Y89" s="550"/>
      <c r="Z89" s="550"/>
      <c r="AA89" s="550"/>
      <c r="AB89" s="550"/>
      <c r="AC89" s="550"/>
      <c r="AD89" s="550"/>
      <c r="AE89" s="550"/>
      <c r="AF89" s="550"/>
      <c r="AG89" s="550"/>
      <c r="AH89" s="550"/>
      <c r="AI89" s="550"/>
      <c r="AJ89" s="550"/>
      <c r="AK89" s="550"/>
    </row>
    <row r="90" spans="1:37">
      <c r="A90" s="550"/>
      <c r="B90" s="550"/>
      <c r="C90" s="550"/>
      <c r="D90" s="550"/>
      <c r="E90" s="550"/>
      <c r="F90" s="550"/>
      <c r="G90" s="550"/>
      <c r="H90" s="550"/>
      <c r="I90" s="550"/>
      <c r="J90" s="550"/>
      <c r="K90" s="550"/>
      <c r="L90" s="550"/>
      <c r="M90" s="550"/>
      <c r="N90" s="550"/>
      <c r="O90" s="550"/>
      <c r="P90" s="550"/>
      <c r="Q90" s="550"/>
      <c r="R90" s="550"/>
      <c r="S90" s="550"/>
      <c r="T90" s="550"/>
      <c r="U90" s="550"/>
      <c r="V90" s="550"/>
      <c r="W90" s="550"/>
      <c r="X90" s="550"/>
      <c r="Y90" s="550"/>
      <c r="Z90" s="550"/>
      <c r="AA90" s="550"/>
      <c r="AB90" s="550"/>
      <c r="AC90" s="550"/>
      <c r="AD90" s="550"/>
      <c r="AE90" s="550"/>
      <c r="AF90" s="550"/>
      <c r="AG90" s="550"/>
      <c r="AH90" s="550"/>
      <c r="AI90" s="550"/>
      <c r="AJ90" s="550"/>
      <c r="AK90" s="550"/>
    </row>
    <row r="91" spans="1:37">
      <c r="A91" s="550"/>
      <c r="B91" s="550"/>
      <c r="C91" s="550"/>
      <c r="D91" s="550"/>
      <c r="E91" s="550"/>
      <c r="F91" s="550"/>
      <c r="G91" s="550"/>
      <c r="H91" s="550"/>
      <c r="I91" s="550"/>
      <c r="J91" s="550"/>
      <c r="K91" s="550"/>
      <c r="L91" s="550"/>
      <c r="M91" s="550"/>
      <c r="N91" s="550"/>
      <c r="O91" s="550"/>
      <c r="P91" s="550"/>
      <c r="Q91" s="550"/>
      <c r="R91" s="550"/>
      <c r="S91" s="550"/>
      <c r="T91" s="550"/>
      <c r="U91" s="550"/>
      <c r="V91" s="550"/>
      <c r="W91" s="550"/>
      <c r="X91" s="550"/>
      <c r="Y91" s="550"/>
      <c r="Z91" s="550"/>
      <c r="AA91" s="550"/>
      <c r="AB91" s="550"/>
      <c r="AC91" s="550"/>
      <c r="AD91" s="550"/>
      <c r="AE91" s="550"/>
      <c r="AF91" s="550"/>
      <c r="AG91" s="550"/>
      <c r="AH91" s="550"/>
      <c r="AI91" s="550"/>
      <c r="AJ91" s="550"/>
      <c r="AK91" s="550"/>
    </row>
    <row r="92" spans="1:37">
      <c r="A92" s="550"/>
      <c r="B92" s="550"/>
      <c r="C92" s="550"/>
      <c r="D92" s="550"/>
      <c r="E92" s="550"/>
      <c r="F92" s="550"/>
      <c r="G92" s="550"/>
      <c r="H92" s="550"/>
      <c r="I92" s="550"/>
      <c r="J92" s="550"/>
      <c r="K92" s="550"/>
      <c r="L92" s="550"/>
      <c r="M92" s="550"/>
      <c r="N92" s="550"/>
      <c r="O92" s="550"/>
      <c r="P92" s="550"/>
      <c r="Q92" s="550"/>
      <c r="R92" s="550"/>
      <c r="S92" s="550"/>
      <c r="T92" s="550"/>
      <c r="U92" s="550"/>
      <c r="V92" s="550"/>
      <c r="W92" s="550"/>
      <c r="X92" s="550"/>
      <c r="Y92" s="550"/>
      <c r="Z92" s="550"/>
      <c r="AA92" s="550"/>
      <c r="AB92" s="550"/>
      <c r="AC92" s="550"/>
      <c r="AD92" s="550"/>
      <c r="AE92" s="550"/>
      <c r="AF92" s="550"/>
      <c r="AG92" s="550"/>
      <c r="AH92" s="550"/>
      <c r="AI92" s="550"/>
      <c r="AJ92" s="550"/>
      <c r="AK92" s="550"/>
    </row>
    <row r="93" spans="1:37">
      <c r="A93" s="550"/>
      <c r="B93" s="550"/>
      <c r="C93" s="550"/>
      <c r="D93" s="550"/>
      <c r="E93" s="550"/>
      <c r="F93" s="550"/>
      <c r="G93" s="550"/>
      <c r="H93" s="550"/>
      <c r="I93" s="550"/>
      <c r="J93" s="550"/>
      <c r="K93" s="550"/>
      <c r="L93" s="550"/>
      <c r="M93" s="550"/>
      <c r="N93" s="550"/>
      <c r="O93" s="550"/>
      <c r="P93" s="550"/>
      <c r="Q93" s="550"/>
      <c r="R93" s="550"/>
      <c r="S93" s="550"/>
      <c r="T93" s="550"/>
      <c r="U93" s="550"/>
      <c r="V93" s="550"/>
      <c r="W93" s="550"/>
      <c r="X93" s="550"/>
      <c r="Y93" s="550"/>
      <c r="Z93" s="550"/>
      <c r="AA93" s="550"/>
      <c r="AB93" s="550"/>
      <c r="AC93" s="550"/>
      <c r="AD93" s="550"/>
      <c r="AE93" s="550"/>
      <c r="AF93" s="550"/>
      <c r="AG93" s="550"/>
      <c r="AH93" s="550"/>
      <c r="AI93" s="550"/>
      <c r="AJ93" s="550"/>
      <c r="AK93" s="550"/>
    </row>
    <row r="94" spans="1:37">
      <c r="A94" s="550"/>
      <c r="B94" s="550"/>
      <c r="C94" s="550"/>
      <c r="D94" s="550"/>
      <c r="E94" s="550"/>
      <c r="F94" s="550"/>
      <c r="G94" s="550"/>
      <c r="H94" s="550"/>
      <c r="I94" s="550"/>
      <c r="J94" s="550"/>
      <c r="K94" s="550"/>
      <c r="L94" s="550"/>
      <c r="M94" s="550"/>
      <c r="N94" s="550"/>
      <c r="O94" s="550"/>
      <c r="P94" s="550"/>
      <c r="Q94" s="550"/>
      <c r="R94" s="550"/>
      <c r="S94" s="550"/>
      <c r="T94" s="550"/>
      <c r="U94" s="550"/>
      <c r="V94" s="550"/>
      <c r="W94" s="550"/>
      <c r="X94" s="550"/>
      <c r="Y94" s="550"/>
      <c r="Z94" s="550"/>
      <c r="AA94" s="550"/>
      <c r="AB94" s="550"/>
      <c r="AC94" s="550"/>
      <c r="AD94" s="550"/>
      <c r="AE94" s="550"/>
      <c r="AF94" s="550"/>
      <c r="AG94" s="550"/>
      <c r="AH94" s="550"/>
      <c r="AI94" s="550"/>
      <c r="AJ94" s="550"/>
      <c r="AK94" s="550"/>
    </row>
    <row r="95" spans="1:37">
      <c r="A95" s="550"/>
      <c r="B95" s="550"/>
      <c r="C95" s="550"/>
      <c r="D95" s="550"/>
      <c r="E95" s="550"/>
      <c r="F95" s="550"/>
      <c r="G95" s="550"/>
      <c r="H95" s="550"/>
      <c r="I95" s="550"/>
      <c r="J95" s="550"/>
      <c r="K95" s="550"/>
      <c r="L95" s="550"/>
      <c r="M95" s="550"/>
      <c r="N95" s="550"/>
      <c r="O95" s="550"/>
      <c r="P95" s="550"/>
      <c r="Q95" s="550"/>
      <c r="R95" s="550"/>
      <c r="S95" s="550"/>
      <c r="T95" s="550"/>
      <c r="U95" s="550"/>
      <c r="V95" s="550"/>
      <c r="W95" s="550"/>
      <c r="X95" s="550"/>
      <c r="Y95" s="550"/>
      <c r="Z95" s="550"/>
      <c r="AA95" s="550"/>
      <c r="AB95" s="550"/>
      <c r="AC95" s="550"/>
      <c r="AD95" s="550"/>
      <c r="AE95" s="550"/>
      <c r="AF95" s="550"/>
      <c r="AG95" s="550"/>
      <c r="AH95" s="550"/>
      <c r="AI95" s="550"/>
      <c r="AJ95" s="550"/>
      <c r="AK95" s="550"/>
    </row>
    <row r="96" spans="1:37">
      <c r="A96" s="550"/>
      <c r="B96" s="550"/>
      <c r="C96" s="550"/>
      <c r="D96" s="550"/>
      <c r="E96" s="550"/>
      <c r="F96" s="550"/>
      <c r="G96" s="550"/>
      <c r="H96" s="550"/>
      <c r="I96" s="550"/>
      <c r="J96" s="550"/>
      <c r="K96" s="550"/>
      <c r="L96" s="550"/>
      <c r="M96" s="550"/>
      <c r="N96" s="550"/>
      <c r="O96" s="550"/>
      <c r="P96" s="550"/>
      <c r="Q96" s="550"/>
      <c r="R96" s="550"/>
      <c r="S96" s="550"/>
      <c r="T96" s="550"/>
      <c r="U96" s="550"/>
      <c r="V96" s="550"/>
      <c r="W96" s="550"/>
      <c r="X96" s="550"/>
      <c r="Y96" s="550"/>
      <c r="Z96" s="550"/>
      <c r="AA96" s="550"/>
      <c r="AB96" s="550"/>
      <c r="AC96" s="550"/>
      <c r="AD96" s="550"/>
      <c r="AE96" s="550"/>
      <c r="AF96" s="550"/>
      <c r="AG96" s="550"/>
      <c r="AH96" s="550"/>
      <c r="AI96" s="550"/>
      <c r="AJ96" s="550"/>
      <c r="AK96" s="550"/>
    </row>
    <row r="97" spans="1:37">
      <c r="A97" s="550"/>
      <c r="B97" s="550"/>
      <c r="C97" s="550"/>
      <c r="D97" s="550"/>
      <c r="E97" s="550"/>
      <c r="F97" s="550"/>
      <c r="G97" s="550"/>
      <c r="H97" s="550"/>
      <c r="I97" s="550"/>
      <c r="J97" s="550"/>
      <c r="K97" s="550"/>
      <c r="L97" s="550"/>
      <c r="M97" s="550"/>
      <c r="N97" s="550"/>
      <c r="O97" s="550"/>
      <c r="P97" s="550"/>
      <c r="Q97" s="550"/>
      <c r="R97" s="550"/>
      <c r="S97" s="550"/>
      <c r="T97" s="550"/>
      <c r="U97" s="550"/>
      <c r="V97" s="550"/>
      <c r="W97" s="550"/>
      <c r="X97" s="550"/>
      <c r="Y97" s="550"/>
      <c r="Z97" s="550"/>
      <c r="AA97" s="550"/>
      <c r="AB97" s="550"/>
      <c r="AC97" s="550"/>
      <c r="AD97" s="550"/>
      <c r="AE97" s="550"/>
      <c r="AF97" s="550"/>
      <c r="AG97" s="550"/>
      <c r="AH97" s="550"/>
      <c r="AI97" s="550"/>
      <c r="AJ97" s="550"/>
      <c r="AK97" s="550"/>
    </row>
    <row r="98" spans="1:37">
      <c r="A98" s="550"/>
      <c r="B98" s="550"/>
      <c r="C98" s="550"/>
      <c r="D98" s="550"/>
      <c r="E98" s="550"/>
      <c r="F98" s="550"/>
      <c r="G98" s="550"/>
      <c r="H98" s="550"/>
      <c r="I98" s="550"/>
      <c r="J98" s="550"/>
      <c r="K98" s="550"/>
      <c r="L98" s="550"/>
      <c r="M98" s="550"/>
      <c r="N98" s="550"/>
      <c r="O98" s="550"/>
      <c r="P98" s="550"/>
      <c r="Q98" s="550"/>
      <c r="R98" s="550"/>
      <c r="S98" s="550"/>
      <c r="T98" s="550"/>
      <c r="U98" s="550"/>
      <c r="V98" s="550"/>
      <c r="W98" s="550"/>
      <c r="X98" s="550"/>
      <c r="Y98" s="550"/>
      <c r="Z98" s="550"/>
      <c r="AA98" s="550"/>
      <c r="AB98" s="550"/>
      <c r="AC98" s="550"/>
      <c r="AD98" s="550"/>
      <c r="AE98" s="550"/>
      <c r="AF98" s="550"/>
      <c r="AG98" s="550"/>
      <c r="AH98" s="550"/>
      <c r="AI98" s="550"/>
      <c r="AJ98" s="550"/>
      <c r="AK98" s="550"/>
    </row>
    <row r="99" spans="1:37">
      <c r="A99" s="550"/>
      <c r="B99" s="550"/>
      <c r="C99" s="550"/>
      <c r="D99" s="550"/>
      <c r="E99" s="550"/>
      <c r="F99" s="550"/>
      <c r="G99" s="550"/>
      <c r="H99" s="550"/>
      <c r="I99" s="550"/>
      <c r="J99" s="550"/>
      <c r="K99" s="550"/>
      <c r="L99" s="550"/>
      <c r="M99" s="550"/>
      <c r="N99" s="550"/>
      <c r="O99" s="550"/>
      <c r="P99" s="550"/>
      <c r="Q99" s="550"/>
      <c r="R99" s="550"/>
      <c r="S99" s="550"/>
      <c r="T99" s="550"/>
      <c r="U99" s="550"/>
      <c r="V99" s="550"/>
      <c r="W99" s="550"/>
      <c r="X99" s="550"/>
      <c r="Y99" s="550"/>
      <c r="Z99" s="550"/>
      <c r="AA99" s="550"/>
      <c r="AB99" s="550"/>
      <c r="AC99" s="550"/>
      <c r="AD99" s="550"/>
      <c r="AE99" s="550"/>
      <c r="AF99" s="550"/>
      <c r="AG99" s="550"/>
      <c r="AH99" s="550"/>
      <c r="AI99" s="550"/>
      <c r="AJ99" s="550"/>
      <c r="AK99" s="550"/>
    </row>
    <row r="100" spans="1:37">
      <c r="A100" s="550"/>
      <c r="B100" s="550"/>
      <c r="C100" s="550"/>
      <c r="D100" s="550"/>
      <c r="E100" s="550"/>
      <c r="F100" s="550"/>
      <c r="G100" s="550"/>
      <c r="H100" s="550"/>
      <c r="I100" s="550"/>
      <c r="J100" s="550"/>
      <c r="K100" s="550"/>
      <c r="L100" s="550"/>
      <c r="M100" s="550"/>
      <c r="N100" s="550"/>
      <c r="O100" s="550"/>
      <c r="P100" s="550"/>
      <c r="Q100" s="550"/>
      <c r="R100" s="550"/>
      <c r="S100" s="550"/>
      <c r="T100" s="550"/>
      <c r="U100" s="550"/>
      <c r="V100" s="550"/>
      <c r="W100" s="550"/>
      <c r="X100" s="550"/>
      <c r="Y100" s="550"/>
      <c r="Z100" s="550"/>
      <c r="AA100" s="550"/>
      <c r="AB100" s="550"/>
      <c r="AC100" s="550"/>
      <c r="AD100" s="550"/>
      <c r="AE100" s="550"/>
      <c r="AF100" s="550"/>
      <c r="AG100" s="550"/>
      <c r="AH100" s="550"/>
      <c r="AI100" s="550"/>
      <c r="AJ100" s="550"/>
      <c r="AK100" s="550"/>
    </row>
    <row r="101" spans="1:37">
      <c r="A101" s="550"/>
      <c r="B101" s="550"/>
      <c r="C101" s="550"/>
      <c r="D101" s="550"/>
      <c r="E101" s="550"/>
      <c r="F101" s="550"/>
      <c r="G101" s="550"/>
      <c r="H101" s="550"/>
      <c r="I101" s="550"/>
      <c r="J101" s="550"/>
      <c r="K101" s="550"/>
      <c r="L101" s="550"/>
      <c r="M101" s="550"/>
      <c r="N101" s="550"/>
      <c r="O101" s="550"/>
      <c r="P101" s="550"/>
      <c r="Q101" s="550"/>
      <c r="R101" s="550"/>
      <c r="S101" s="550"/>
      <c r="T101" s="550"/>
      <c r="U101" s="550"/>
      <c r="V101" s="550"/>
      <c r="W101" s="550"/>
      <c r="X101" s="550"/>
      <c r="Y101" s="550"/>
      <c r="Z101" s="550"/>
      <c r="AA101" s="550"/>
      <c r="AB101" s="550"/>
      <c r="AC101" s="550"/>
      <c r="AD101" s="550"/>
      <c r="AE101" s="550"/>
      <c r="AF101" s="550"/>
      <c r="AG101" s="550"/>
      <c r="AH101" s="550"/>
      <c r="AI101" s="550"/>
      <c r="AJ101" s="550"/>
      <c r="AK101" s="550"/>
    </row>
    <row r="102" spans="1:37">
      <c r="A102" s="550"/>
      <c r="B102" s="550"/>
      <c r="C102" s="550"/>
      <c r="D102" s="550"/>
      <c r="E102" s="550"/>
      <c r="F102" s="550"/>
      <c r="G102" s="550"/>
      <c r="H102" s="550"/>
      <c r="I102" s="550"/>
      <c r="J102" s="550"/>
      <c r="K102" s="550"/>
      <c r="L102" s="550"/>
      <c r="M102" s="550"/>
      <c r="N102" s="550"/>
      <c r="O102" s="550"/>
      <c r="P102" s="550"/>
      <c r="Q102" s="550"/>
      <c r="R102" s="550"/>
      <c r="S102" s="550"/>
      <c r="T102" s="550"/>
      <c r="U102" s="550"/>
      <c r="V102" s="550"/>
      <c r="W102" s="550"/>
      <c r="X102" s="550"/>
      <c r="Y102" s="550"/>
      <c r="Z102" s="550"/>
      <c r="AA102" s="550"/>
      <c r="AB102" s="550"/>
      <c r="AC102" s="550"/>
      <c r="AD102" s="550"/>
      <c r="AE102" s="550"/>
      <c r="AF102" s="550"/>
      <c r="AG102" s="550"/>
      <c r="AH102" s="550"/>
      <c r="AI102" s="550"/>
      <c r="AJ102" s="550"/>
      <c r="AK102" s="550"/>
    </row>
    <row r="103" spans="1:37">
      <c r="A103" s="550"/>
      <c r="B103" s="550"/>
      <c r="C103" s="550"/>
      <c r="D103" s="550"/>
      <c r="E103" s="550"/>
      <c r="F103" s="550"/>
      <c r="G103" s="550"/>
      <c r="H103" s="550"/>
      <c r="I103" s="550"/>
      <c r="J103" s="550"/>
      <c r="K103" s="550"/>
      <c r="L103" s="550"/>
      <c r="M103" s="550"/>
      <c r="N103" s="550"/>
      <c r="O103" s="550"/>
      <c r="P103" s="550"/>
      <c r="Q103" s="550"/>
      <c r="R103" s="550"/>
      <c r="S103" s="550"/>
      <c r="T103" s="550"/>
      <c r="U103" s="550"/>
      <c r="V103" s="550"/>
      <c r="W103" s="550"/>
      <c r="X103" s="550"/>
      <c r="Y103" s="550"/>
      <c r="Z103" s="550"/>
      <c r="AA103" s="550"/>
      <c r="AB103" s="550"/>
      <c r="AC103" s="550"/>
      <c r="AD103" s="550"/>
      <c r="AE103" s="550"/>
      <c r="AF103" s="550"/>
      <c r="AG103" s="550"/>
      <c r="AH103" s="550"/>
      <c r="AI103" s="550"/>
      <c r="AJ103" s="550"/>
      <c r="AK103" s="550"/>
    </row>
    <row r="104" spans="1:37">
      <c r="A104" s="550"/>
      <c r="B104" s="550"/>
      <c r="C104" s="550"/>
      <c r="D104" s="550"/>
      <c r="E104" s="550"/>
      <c r="F104" s="550"/>
      <c r="G104" s="550"/>
      <c r="H104" s="550"/>
      <c r="I104" s="550"/>
      <c r="J104" s="550"/>
      <c r="K104" s="550"/>
      <c r="L104" s="550"/>
      <c r="M104" s="550"/>
      <c r="N104" s="550"/>
      <c r="O104" s="550"/>
      <c r="P104" s="550"/>
      <c r="Q104" s="550"/>
      <c r="R104" s="550"/>
      <c r="S104" s="550"/>
      <c r="T104" s="550"/>
      <c r="U104" s="550"/>
      <c r="V104" s="550"/>
      <c r="W104" s="550"/>
      <c r="X104" s="550"/>
      <c r="Y104" s="550"/>
      <c r="Z104" s="550"/>
      <c r="AA104" s="550"/>
      <c r="AB104" s="550"/>
      <c r="AC104" s="550"/>
      <c r="AD104" s="550"/>
      <c r="AE104" s="550"/>
      <c r="AF104" s="550"/>
      <c r="AG104" s="550"/>
      <c r="AH104" s="550"/>
      <c r="AI104" s="550"/>
      <c r="AJ104" s="550"/>
      <c r="AK104" s="550"/>
    </row>
    <row r="105" spans="1:37">
      <c r="A105" s="550"/>
      <c r="B105" s="550"/>
      <c r="C105" s="550"/>
      <c r="D105" s="550"/>
      <c r="E105" s="550"/>
      <c r="F105" s="550"/>
      <c r="G105" s="550"/>
      <c r="H105" s="550"/>
      <c r="I105" s="550"/>
      <c r="J105" s="550"/>
      <c r="K105" s="550"/>
      <c r="L105" s="550"/>
      <c r="M105" s="550"/>
      <c r="N105" s="550"/>
      <c r="O105" s="550"/>
      <c r="P105" s="550"/>
      <c r="Q105" s="550"/>
      <c r="R105" s="550"/>
      <c r="S105" s="550"/>
      <c r="T105" s="550"/>
      <c r="U105" s="550"/>
      <c r="V105" s="550"/>
      <c r="W105" s="550"/>
      <c r="X105" s="550"/>
      <c r="Y105" s="550"/>
      <c r="Z105" s="550"/>
      <c r="AA105" s="550"/>
      <c r="AB105" s="550"/>
      <c r="AC105" s="550"/>
      <c r="AD105" s="550"/>
      <c r="AE105" s="550"/>
      <c r="AF105" s="550"/>
      <c r="AG105" s="550"/>
      <c r="AH105" s="550"/>
      <c r="AI105" s="550"/>
      <c r="AJ105" s="550"/>
      <c r="AK105" s="550"/>
    </row>
    <row r="106" spans="1:37">
      <c r="A106" s="550"/>
      <c r="B106" s="550"/>
      <c r="C106" s="550"/>
      <c r="D106" s="550"/>
      <c r="E106" s="550"/>
      <c r="F106" s="550"/>
      <c r="G106" s="550"/>
      <c r="H106" s="550"/>
      <c r="I106" s="550"/>
      <c r="J106" s="550"/>
      <c r="K106" s="550"/>
      <c r="L106" s="550"/>
      <c r="M106" s="550"/>
      <c r="N106" s="550"/>
      <c r="O106" s="550"/>
      <c r="P106" s="550"/>
      <c r="Q106" s="550"/>
      <c r="R106" s="550"/>
      <c r="S106" s="550"/>
      <c r="T106" s="550"/>
      <c r="U106" s="550"/>
      <c r="V106" s="550"/>
      <c r="W106" s="550"/>
      <c r="X106" s="550"/>
      <c r="Y106" s="550"/>
      <c r="Z106" s="550"/>
      <c r="AA106" s="550"/>
      <c r="AB106" s="550"/>
      <c r="AC106" s="550"/>
      <c r="AD106" s="550"/>
      <c r="AE106" s="550"/>
      <c r="AF106" s="550"/>
      <c r="AG106" s="550"/>
      <c r="AH106" s="550"/>
      <c r="AI106" s="550"/>
      <c r="AJ106" s="550"/>
      <c r="AK106" s="550"/>
    </row>
    <row r="107" spans="1:37">
      <c r="A107" s="550"/>
      <c r="B107" s="550"/>
      <c r="C107" s="550"/>
      <c r="D107" s="550"/>
      <c r="E107" s="550"/>
      <c r="F107" s="550"/>
      <c r="G107" s="550"/>
      <c r="H107" s="550"/>
      <c r="I107" s="550"/>
      <c r="J107" s="550"/>
      <c r="K107" s="550"/>
      <c r="L107" s="550"/>
      <c r="M107" s="550"/>
      <c r="N107" s="550"/>
      <c r="O107" s="550"/>
      <c r="P107" s="550"/>
      <c r="Q107" s="550"/>
      <c r="R107" s="550"/>
      <c r="S107" s="550"/>
      <c r="T107" s="550"/>
      <c r="U107" s="550"/>
      <c r="V107" s="550"/>
      <c r="W107" s="550"/>
      <c r="X107" s="550"/>
      <c r="Y107" s="550"/>
      <c r="Z107" s="550"/>
      <c r="AA107" s="550"/>
      <c r="AB107" s="550"/>
      <c r="AC107" s="550"/>
      <c r="AD107" s="550"/>
      <c r="AE107" s="550"/>
      <c r="AF107" s="550"/>
      <c r="AG107" s="550"/>
      <c r="AH107" s="550"/>
      <c r="AI107" s="550"/>
      <c r="AJ107" s="550"/>
      <c r="AK107" s="550"/>
    </row>
    <row r="108" spans="1:37">
      <c r="A108" s="550"/>
      <c r="B108" s="550"/>
      <c r="C108" s="550"/>
      <c r="D108" s="550"/>
      <c r="E108" s="550"/>
      <c r="F108" s="550"/>
      <c r="G108" s="550"/>
      <c r="H108" s="550"/>
      <c r="I108" s="550"/>
      <c r="J108" s="550"/>
      <c r="K108" s="550"/>
      <c r="L108" s="550"/>
      <c r="M108" s="550"/>
      <c r="N108" s="550"/>
      <c r="O108" s="550"/>
      <c r="P108" s="550"/>
      <c r="Q108" s="550"/>
      <c r="R108" s="550"/>
      <c r="S108" s="550"/>
      <c r="T108" s="550"/>
      <c r="U108" s="550"/>
      <c r="V108" s="550"/>
      <c r="W108" s="550"/>
      <c r="X108" s="550"/>
      <c r="Y108" s="550"/>
      <c r="Z108" s="550"/>
      <c r="AA108" s="550"/>
      <c r="AB108" s="550"/>
      <c r="AC108" s="550"/>
      <c r="AD108" s="550"/>
      <c r="AE108" s="550"/>
      <c r="AF108" s="550"/>
      <c r="AG108" s="550"/>
      <c r="AH108" s="550"/>
      <c r="AI108" s="550"/>
      <c r="AJ108" s="550"/>
      <c r="AK108" s="550"/>
    </row>
    <row r="109" spans="1:37">
      <c r="A109" s="550"/>
      <c r="B109" s="550"/>
      <c r="C109" s="550"/>
      <c r="D109" s="550"/>
      <c r="E109" s="550"/>
      <c r="F109" s="550"/>
      <c r="G109" s="550"/>
      <c r="H109" s="550"/>
      <c r="I109" s="550"/>
      <c r="J109" s="550"/>
      <c r="K109" s="550"/>
      <c r="L109" s="550"/>
      <c r="M109" s="550"/>
      <c r="N109" s="550"/>
      <c r="O109" s="550"/>
      <c r="P109" s="550"/>
      <c r="Q109" s="550"/>
      <c r="R109" s="550"/>
      <c r="S109" s="550"/>
      <c r="T109" s="550"/>
      <c r="U109" s="550"/>
      <c r="V109" s="550"/>
      <c r="W109" s="550"/>
      <c r="X109" s="550"/>
      <c r="Y109" s="550"/>
      <c r="Z109" s="550"/>
      <c r="AA109" s="550"/>
      <c r="AB109" s="550"/>
      <c r="AC109" s="550"/>
      <c r="AD109" s="550"/>
      <c r="AE109" s="550"/>
      <c r="AF109" s="550"/>
      <c r="AG109" s="550"/>
      <c r="AH109" s="550"/>
      <c r="AI109" s="550"/>
      <c r="AJ109" s="550"/>
      <c r="AK109" s="550"/>
    </row>
    <row r="110" spans="1:37">
      <c r="A110" s="550"/>
      <c r="B110" s="550"/>
      <c r="C110" s="550"/>
      <c r="D110" s="550"/>
      <c r="E110" s="550"/>
      <c r="F110" s="550"/>
      <c r="G110" s="550"/>
      <c r="H110" s="550"/>
      <c r="I110" s="550"/>
      <c r="J110" s="550"/>
      <c r="K110" s="550"/>
      <c r="L110" s="550"/>
      <c r="M110" s="550"/>
      <c r="N110" s="550"/>
      <c r="O110" s="550"/>
      <c r="P110" s="550"/>
      <c r="Q110" s="550"/>
      <c r="R110" s="550"/>
      <c r="S110" s="550"/>
      <c r="T110" s="550"/>
      <c r="U110" s="550"/>
      <c r="V110" s="550"/>
      <c r="W110" s="550"/>
      <c r="X110" s="550"/>
      <c r="Y110" s="550"/>
      <c r="Z110" s="550"/>
      <c r="AA110" s="550"/>
      <c r="AB110" s="550"/>
      <c r="AC110" s="550"/>
      <c r="AD110" s="550"/>
      <c r="AE110" s="550"/>
      <c r="AF110" s="550"/>
      <c r="AG110" s="550"/>
      <c r="AH110" s="550"/>
      <c r="AI110" s="550"/>
      <c r="AJ110" s="550"/>
      <c r="AK110" s="550"/>
    </row>
    <row r="111" spans="1:37">
      <c r="A111" s="550"/>
      <c r="B111" s="550"/>
      <c r="C111" s="550"/>
      <c r="D111" s="550"/>
      <c r="E111" s="550"/>
      <c r="F111" s="550"/>
      <c r="G111" s="550"/>
      <c r="H111" s="550"/>
      <c r="I111" s="550"/>
      <c r="J111" s="550"/>
      <c r="K111" s="550"/>
      <c r="L111" s="550"/>
      <c r="M111" s="550"/>
      <c r="N111" s="550"/>
      <c r="O111" s="550"/>
      <c r="P111" s="550"/>
      <c r="Q111" s="550"/>
      <c r="R111" s="550"/>
      <c r="S111" s="550"/>
      <c r="T111" s="550"/>
      <c r="U111" s="550"/>
      <c r="V111" s="550"/>
      <c r="W111" s="550"/>
      <c r="X111" s="550"/>
      <c r="Y111" s="550"/>
      <c r="Z111" s="550"/>
      <c r="AA111" s="550"/>
      <c r="AB111" s="550"/>
      <c r="AC111" s="550"/>
      <c r="AD111" s="550"/>
      <c r="AE111" s="550"/>
      <c r="AF111" s="550"/>
      <c r="AG111" s="550"/>
      <c r="AH111" s="550"/>
      <c r="AI111" s="550"/>
      <c r="AJ111" s="550"/>
      <c r="AK111" s="550"/>
    </row>
    <row r="112" spans="1:37">
      <c r="A112" s="550"/>
      <c r="B112" s="550"/>
      <c r="C112" s="550"/>
      <c r="D112" s="550"/>
      <c r="E112" s="550"/>
      <c r="F112" s="550"/>
      <c r="G112" s="550"/>
      <c r="H112" s="550"/>
      <c r="I112" s="550"/>
      <c r="J112" s="550"/>
      <c r="K112" s="550"/>
      <c r="L112" s="550"/>
      <c r="M112" s="550"/>
      <c r="N112" s="550"/>
      <c r="O112" s="550"/>
      <c r="P112" s="550"/>
      <c r="Q112" s="550"/>
      <c r="R112" s="550"/>
      <c r="S112" s="550"/>
      <c r="T112" s="550"/>
      <c r="U112" s="550"/>
      <c r="V112" s="550"/>
      <c r="W112" s="550"/>
      <c r="X112" s="550"/>
      <c r="Y112" s="550"/>
      <c r="Z112" s="550"/>
      <c r="AA112" s="550"/>
      <c r="AB112" s="550"/>
      <c r="AC112" s="550"/>
      <c r="AD112" s="550"/>
      <c r="AE112" s="550"/>
      <c r="AF112" s="550"/>
      <c r="AG112" s="550"/>
      <c r="AH112" s="550"/>
      <c r="AI112" s="550"/>
      <c r="AJ112" s="550"/>
      <c r="AK112" s="550"/>
    </row>
    <row r="113" spans="1:37">
      <c r="A113" s="550"/>
      <c r="B113" s="550"/>
      <c r="C113" s="550"/>
      <c r="D113" s="550"/>
      <c r="E113" s="550"/>
      <c r="F113" s="550"/>
      <c r="G113" s="550"/>
      <c r="H113" s="550"/>
      <c r="I113" s="550"/>
      <c r="J113" s="550"/>
      <c r="K113" s="550"/>
      <c r="L113" s="550"/>
      <c r="M113" s="550"/>
      <c r="N113" s="550"/>
      <c r="O113" s="550"/>
      <c r="P113" s="550"/>
      <c r="Q113" s="550"/>
      <c r="R113" s="550"/>
      <c r="S113" s="550"/>
      <c r="T113" s="550"/>
      <c r="U113" s="550"/>
      <c r="V113" s="550"/>
      <c r="W113" s="550"/>
      <c r="X113" s="550"/>
      <c r="Y113" s="550"/>
      <c r="Z113" s="550"/>
      <c r="AA113" s="550"/>
      <c r="AB113" s="550"/>
      <c r="AC113" s="550"/>
      <c r="AD113" s="550"/>
      <c r="AE113" s="550"/>
      <c r="AF113" s="550"/>
      <c r="AG113" s="550"/>
      <c r="AH113" s="550"/>
      <c r="AI113" s="550"/>
      <c r="AJ113" s="550"/>
      <c r="AK113" s="550"/>
    </row>
    <row r="114" spans="1:37">
      <c r="A114" s="550"/>
      <c r="B114" s="550"/>
      <c r="C114" s="550"/>
      <c r="D114" s="550"/>
      <c r="E114" s="550"/>
      <c r="F114" s="550"/>
      <c r="G114" s="550"/>
      <c r="H114" s="550"/>
      <c r="I114" s="550"/>
      <c r="J114" s="550"/>
      <c r="K114" s="550"/>
      <c r="L114" s="550"/>
      <c r="M114" s="550"/>
      <c r="N114" s="550"/>
      <c r="O114" s="550"/>
      <c r="P114" s="550"/>
      <c r="Q114" s="550"/>
      <c r="R114" s="550"/>
      <c r="S114" s="550"/>
      <c r="T114" s="550"/>
      <c r="U114" s="550"/>
      <c r="V114" s="550"/>
      <c r="W114" s="550"/>
      <c r="X114" s="550"/>
      <c r="Y114" s="550"/>
      <c r="Z114" s="550"/>
      <c r="AA114" s="550"/>
      <c r="AB114" s="550"/>
      <c r="AC114" s="550"/>
      <c r="AD114" s="550"/>
      <c r="AE114" s="550"/>
      <c r="AF114" s="550"/>
      <c r="AG114" s="550"/>
      <c r="AH114" s="550"/>
      <c r="AI114" s="550"/>
      <c r="AJ114" s="550"/>
      <c r="AK114" s="550"/>
    </row>
    <row r="115" spans="1:37">
      <c r="A115" s="550"/>
      <c r="B115" s="550"/>
      <c r="C115" s="550"/>
      <c r="D115" s="550"/>
      <c r="E115" s="550"/>
      <c r="F115" s="550"/>
      <c r="G115" s="550"/>
      <c r="H115" s="550"/>
      <c r="I115" s="550"/>
      <c r="J115" s="550"/>
      <c r="K115" s="550"/>
      <c r="L115" s="550"/>
      <c r="M115" s="550"/>
      <c r="N115" s="550"/>
      <c r="O115" s="550"/>
      <c r="P115" s="550"/>
      <c r="Q115" s="550"/>
      <c r="R115" s="550"/>
      <c r="S115" s="550"/>
      <c r="T115" s="550"/>
      <c r="U115" s="550"/>
      <c r="V115" s="550"/>
      <c r="W115" s="550"/>
      <c r="X115" s="550"/>
      <c r="Y115" s="550"/>
      <c r="Z115" s="550"/>
      <c r="AA115" s="550"/>
      <c r="AB115" s="550"/>
      <c r="AC115" s="550"/>
      <c r="AD115" s="550"/>
      <c r="AE115" s="550"/>
      <c r="AF115" s="550"/>
      <c r="AG115" s="550"/>
      <c r="AH115" s="550"/>
      <c r="AI115" s="550"/>
      <c r="AJ115" s="550"/>
      <c r="AK115" s="550"/>
    </row>
    <row r="116" spans="1:37">
      <c r="A116" s="550"/>
      <c r="B116" s="550"/>
      <c r="C116" s="550"/>
      <c r="D116" s="550"/>
      <c r="E116" s="550"/>
      <c r="F116" s="550"/>
      <c r="G116" s="550"/>
      <c r="H116" s="550"/>
      <c r="I116" s="550"/>
      <c r="J116" s="550"/>
      <c r="K116" s="550"/>
      <c r="L116" s="550"/>
      <c r="M116" s="550"/>
      <c r="N116" s="550"/>
      <c r="O116" s="550"/>
      <c r="P116" s="550"/>
      <c r="Q116" s="550"/>
      <c r="R116" s="550"/>
      <c r="S116" s="550"/>
      <c r="T116" s="550"/>
      <c r="U116" s="550"/>
      <c r="V116" s="550"/>
      <c r="W116" s="550"/>
      <c r="X116" s="550"/>
      <c r="Y116" s="550"/>
      <c r="Z116" s="550"/>
      <c r="AA116" s="550"/>
      <c r="AB116" s="550"/>
      <c r="AC116" s="550"/>
      <c r="AD116" s="550"/>
      <c r="AE116" s="550"/>
      <c r="AF116" s="550"/>
      <c r="AG116" s="550"/>
      <c r="AH116" s="550"/>
      <c r="AI116" s="550"/>
      <c r="AJ116" s="550"/>
      <c r="AK116" s="550"/>
    </row>
    <row r="117" spans="1:37">
      <c r="A117" s="550"/>
      <c r="B117" s="550"/>
      <c r="C117" s="550"/>
      <c r="D117" s="550"/>
      <c r="E117" s="550"/>
      <c r="F117" s="550"/>
      <c r="G117" s="550"/>
      <c r="H117" s="550"/>
      <c r="I117" s="550"/>
      <c r="J117" s="550"/>
      <c r="K117" s="550"/>
      <c r="L117" s="550"/>
      <c r="M117" s="550"/>
      <c r="N117" s="550"/>
      <c r="O117" s="550"/>
      <c r="P117" s="550"/>
      <c r="Q117" s="550"/>
      <c r="R117" s="550"/>
      <c r="S117" s="550"/>
      <c r="T117" s="550"/>
      <c r="U117" s="550"/>
      <c r="V117" s="550"/>
      <c r="W117" s="550"/>
      <c r="X117" s="550"/>
      <c r="Y117" s="550"/>
      <c r="Z117" s="550"/>
      <c r="AA117" s="550"/>
      <c r="AB117" s="550"/>
      <c r="AC117" s="550"/>
      <c r="AD117" s="550"/>
      <c r="AE117" s="550"/>
      <c r="AF117" s="550"/>
      <c r="AG117" s="550"/>
      <c r="AH117" s="550"/>
      <c r="AI117" s="550"/>
      <c r="AJ117" s="550"/>
      <c r="AK117" s="550"/>
    </row>
    <row r="118" spans="1:37">
      <c r="A118" s="550"/>
      <c r="B118" s="550"/>
      <c r="C118" s="550"/>
      <c r="D118" s="550"/>
      <c r="E118" s="550"/>
      <c r="F118" s="550"/>
      <c r="G118" s="550"/>
      <c r="H118" s="550"/>
      <c r="I118" s="550"/>
      <c r="J118" s="550"/>
      <c r="K118" s="550"/>
      <c r="L118" s="550"/>
      <c r="M118" s="550"/>
      <c r="N118" s="550"/>
      <c r="O118" s="550"/>
      <c r="P118" s="550"/>
      <c r="Q118" s="550"/>
      <c r="R118" s="550"/>
      <c r="S118" s="550"/>
      <c r="T118" s="550"/>
      <c r="U118" s="550"/>
      <c r="V118" s="550"/>
      <c r="W118" s="550"/>
      <c r="X118" s="550"/>
      <c r="Y118" s="550"/>
      <c r="Z118" s="550"/>
      <c r="AA118" s="550"/>
      <c r="AB118" s="550"/>
      <c r="AC118" s="550"/>
      <c r="AD118" s="550"/>
      <c r="AE118" s="550"/>
      <c r="AF118" s="550"/>
      <c r="AG118" s="550"/>
      <c r="AH118" s="550"/>
      <c r="AI118" s="550"/>
      <c r="AJ118" s="550"/>
      <c r="AK118" s="550"/>
    </row>
    <row r="119" spans="1:37">
      <c r="A119" s="550"/>
      <c r="B119" s="550"/>
      <c r="C119" s="550"/>
      <c r="D119" s="550"/>
      <c r="E119" s="550"/>
      <c r="F119" s="550"/>
      <c r="G119" s="550"/>
      <c r="H119" s="550"/>
      <c r="I119" s="550"/>
      <c r="J119" s="550"/>
      <c r="K119" s="550"/>
      <c r="L119" s="550"/>
      <c r="M119" s="550"/>
      <c r="N119" s="550"/>
      <c r="O119" s="550"/>
      <c r="P119" s="550"/>
      <c r="Q119" s="550"/>
      <c r="R119" s="550"/>
      <c r="S119" s="550"/>
      <c r="T119" s="550"/>
      <c r="U119" s="550"/>
      <c r="V119" s="550"/>
      <c r="W119" s="550"/>
      <c r="X119" s="550"/>
      <c r="Y119" s="550"/>
      <c r="Z119" s="550"/>
      <c r="AA119" s="550"/>
      <c r="AB119" s="550"/>
      <c r="AC119" s="550"/>
      <c r="AD119" s="550"/>
      <c r="AE119" s="550"/>
      <c r="AF119" s="550"/>
      <c r="AG119" s="550"/>
      <c r="AH119" s="550"/>
      <c r="AI119" s="550"/>
      <c r="AJ119" s="550"/>
      <c r="AK119" s="550"/>
    </row>
    <row r="120" spans="1:37">
      <c r="A120" s="550"/>
      <c r="B120" s="550"/>
      <c r="C120" s="550"/>
      <c r="D120" s="550"/>
      <c r="E120" s="550"/>
      <c r="F120" s="550"/>
      <c r="G120" s="550"/>
      <c r="H120" s="550"/>
      <c r="I120" s="550"/>
      <c r="J120" s="550"/>
      <c r="K120" s="550"/>
      <c r="L120" s="550"/>
      <c r="M120" s="550"/>
      <c r="N120" s="550"/>
      <c r="O120" s="550"/>
      <c r="P120" s="550"/>
      <c r="Q120" s="550"/>
      <c r="R120" s="550"/>
      <c r="S120" s="550"/>
      <c r="T120" s="550"/>
      <c r="U120" s="550"/>
      <c r="V120" s="550"/>
      <c r="W120" s="550"/>
      <c r="X120" s="550"/>
      <c r="Y120" s="550"/>
      <c r="Z120" s="550"/>
      <c r="AA120" s="550"/>
      <c r="AB120" s="550"/>
      <c r="AC120" s="550"/>
      <c r="AD120" s="550"/>
      <c r="AE120" s="550"/>
      <c r="AF120" s="550"/>
      <c r="AG120" s="550"/>
      <c r="AH120" s="550"/>
      <c r="AI120" s="550"/>
      <c r="AJ120" s="550"/>
      <c r="AK120" s="550"/>
    </row>
    <row r="121" spans="1:37">
      <c r="A121" s="550"/>
      <c r="B121" s="550"/>
      <c r="C121" s="550"/>
      <c r="D121" s="550"/>
      <c r="E121" s="550"/>
      <c r="F121" s="550"/>
      <c r="G121" s="550"/>
      <c r="H121" s="550"/>
      <c r="I121" s="550"/>
      <c r="J121" s="550"/>
      <c r="K121" s="550"/>
      <c r="L121" s="550"/>
      <c r="M121" s="550"/>
      <c r="N121" s="550"/>
      <c r="O121" s="550"/>
      <c r="P121" s="550"/>
      <c r="Q121" s="550"/>
      <c r="R121" s="550"/>
      <c r="S121" s="550"/>
      <c r="T121" s="550"/>
      <c r="U121" s="550"/>
      <c r="V121" s="550"/>
      <c r="W121" s="550"/>
      <c r="X121" s="550"/>
      <c r="Y121" s="550"/>
      <c r="Z121" s="550"/>
      <c r="AA121" s="550"/>
      <c r="AB121" s="550"/>
      <c r="AC121" s="550"/>
      <c r="AD121" s="550"/>
      <c r="AE121" s="550"/>
      <c r="AF121" s="550"/>
      <c r="AG121" s="550"/>
      <c r="AH121" s="550"/>
      <c r="AI121" s="550"/>
      <c r="AJ121" s="550"/>
      <c r="AK121" s="550"/>
    </row>
    <row r="122" spans="1:37">
      <c r="A122" s="550"/>
      <c r="B122" s="550"/>
      <c r="C122" s="550"/>
      <c r="D122" s="550"/>
      <c r="E122" s="550"/>
      <c r="F122" s="550"/>
      <c r="G122" s="550"/>
      <c r="H122" s="550"/>
      <c r="I122" s="550"/>
      <c r="J122" s="550"/>
      <c r="K122" s="550"/>
      <c r="L122" s="550"/>
      <c r="M122" s="550"/>
      <c r="N122" s="550"/>
      <c r="O122" s="550"/>
      <c r="P122" s="550"/>
      <c r="Q122" s="550"/>
      <c r="R122" s="550"/>
      <c r="S122" s="550"/>
      <c r="T122" s="550"/>
      <c r="U122" s="550"/>
      <c r="V122" s="550"/>
      <c r="W122" s="550"/>
      <c r="X122" s="550"/>
      <c r="Y122" s="550"/>
      <c r="Z122" s="550"/>
      <c r="AA122" s="550"/>
      <c r="AB122" s="550"/>
      <c r="AC122" s="550"/>
      <c r="AD122" s="550"/>
      <c r="AE122" s="550"/>
      <c r="AF122" s="550"/>
      <c r="AG122" s="550"/>
      <c r="AH122" s="550"/>
      <c r="AI122" s="550"/>
      <c r="AJ122" s="550"/>
      <c r="AK122" s="550"/>
    </row>
    <row r="123" spans="1:37">
      <c r="A123" s="550"/>
      <c r="B123" s="550"/>
      <c r="C123" s="550"/>
      <c r="D123" s="550"/>
      <c r="E123" s="550"/>
      <c r="F123" s="550"/>
      <c r="G123" s="550"/>
      <c r="H123" s="550"/>
      <c r="I123" s="550"/>
      <c r="J123" s="550"/>
      <c r="K123" s="550"/>
      <c r="L123" s="550"/>
      <c r="M123" s="550"/>
      <c r="N123" s="550"/>
      <c r="O123" s="550"/>
      <c r="P123" s="550"/>
      <c r="Q123" s="550"/>
      <c r="R123" s="550"/>
      <c r="S123" s="550"/>
      <c r="T123" s="550"/>
      <c r="U123" s="550"/>
      <c r="V123" s="550"/>
      <c r="W123" s="550"/>
      <c r="X123" s="550"/>
      <c r="Y123" s="550"/>
      <c r="Z123" s="550"/>
      <c r="AA123" s="550"/>
      <c r="AB123" s="550"/>
      <c r="AC123" s="550"/>
      <c r="AD123" s="550"/>
      <c r="AE123" s="550"/>
      <c r="AF123" s="550"/>
      <c r="AG123" s="550"/>
      <c r="AH123" s="550"/>
      <c r="AI123" s="550"/>
      <c r="AJ123" s="550"/>
      <c r="AK123" s="550"/>
    </row>
    <row r="124" spans="1:37">
      <c r="A124" s="550"/>
      <c r="B124" s="550"/>
      <c r="C124" s="550"/>
      <c r="D124" s="550"/>
      <c r="E124" s="550"/>
      <c r="F124" s="550"/>
      <c r="G124" s="550"/>
      <c r="H124" s="550"/>
      <c r="I124" s="550"/>
      <c r="J124" s="550"/>
      <c r="K124" s="550"/>
      <c r="L124" s="550"/>
      <c r="M124" s="550"/>
      <c r="N124" s="550"/>
      <c r="O124" s="550"/>
      <c r="P124" s="550"/>
      <c r="Q124" s="550"/>
      <c r="R124" s="550"/>
      <c r="S124" s="550"/>
      <c r="T124" s="550"/>
      <c r="U124" s="550"/>
      <c r="V124" s="550"/>
      <c r="W124" s="550"/>
      <c r="X124" s="550"/>
      <c r="Y124" s="550"/>
      <c r="Z124" s="550"/>
      <c r="AA124" s="550"/>
      <c r="AB124" s="550"/>
      <c r="AC124" s="550"/>
      <c r="AD124" s="550"/>
      <c r="AE124" s="550"/>
      <c r="AF124" s="550"/>
      <c r="AG124" s="550"/>
      <c r="AH124" s="550"/>
      <c r="AI124" s="550"/>
      <c r="AJ124" s="550"/>
      <c r="AK124" s="550"/>
    </row>
    <row r="125" spans="1:37">
      <c r="A125" s="550"/>
      <c r="B125" s="550"/>
      <c r="C125" s="550"/>
      <c r="D125" s="550"/>
      <c r="E125" s="550"/>
      <c r="F125" s="550"/>
      <c r="G125" s="550"/>
      <c r="H125" s="550"/>
      <c r="I125" s="550"/>
      <c r="J125" s="550"/>
      <c r="K125" s="550"/>
      <c r="L125" s="550"/>
      <c r="M125" s="550"/>
      <c r="N125" s="550"/>
      <c r="O125" s="550"/>
      <c r="P125" s="550"/>
      <c r="Q125" s="550"/>
      <c r="R125" s="550"/>
      <c r="S125" s="550"/>
      <c r="T125" s="550"/>
      <c r="U125" s="550"/>
      <c r="V125" s="550"/>
      <c r="W125" s="550"/>
      <c r="X125" s="550"/>
      <c r="Y125" s="550"/>
      <c r="Z125" s="550"/>
      <c r="AA125" s="550"/>
      <c r="AB125" s="550"/>
      <c r="AC125" s="550"/>
      <c r="AD125" s="550"/>
      <c r="AE125" s="550"/>
      <c r="AF125" s="550"/>
      <c r="AG125" s="550"/>
      <c r="AH125" s="550"/>
      <c r="AI125" s="550"/>
      <c r="AJ125" s="550"/>
      <c r="AK125" s="550"/>
    </row>
    <row r="126" spans="1:37">
      <c r="A126" s="550"/>
      <c r="B126" s="550"/>
      <c r="C126" s="550"/>
      <c r="D126" s="550"/>
      <c r="E126" s="550"/>
      <c r="F126" s="550"/>
      <c r="G126" s="550"/>
      <c r="H126" s="550"/>
      <c r="I126" s="550"/>
      <c r="J126" s="550"/>
      <c r="K126" s="550"/>
      <c r="L126" s="550"/>
      <c r="M126" s="550"/>
      <c r="N126" s="550"/>
      <c r="O126" s="550"/>
      <c r="P126" s="550"/>
      <c r="Q126" s="550"/>
      <c r="R126" s="550"/>
      <c r="S126" s="550"/>
      <c r="T126" s="550"/>
      <c r="U126" s="550"/>
      <c r="V126" s="550"/>
      <c r="W126" s="550"/>
      <c r="X126" s="550"/>
      <c r="Y126" s="550"/>
      <c r="Z126" s="550"/>
      <c r="AA126" s="550"/>
      <c r="AB126" s="550"/>
      <c r="AC126" s="550"/>
      <c r="AD126" s="550"/>
      <c r="AE126" s="550"/>
      <c r="AF126" s="550"/>
      <c r="AG126" s="550"/>
      <c r="AH126" s="550"/>
      <c r="AI126" s="550"/>
      <c r="AJ126" s="550"/>
      <c r="AK126" s="550"/>
    </row>
    <row r="127" spans="1:37">
      <c r="A127" s="550"/>
      <c r="B127" s="550"/>
      <c r="C127" s="550"/>
      <c r="D127" s="550"/>
      <c r="E127" s="550"/>
      <c r="F127" s="550"/>
      <c r="G127" s="550"/>
      <c r="H127" s="550"/>
      <c r="I127" s="550"/>
      <c r="J127" s="550"/>
      <c r="K127" s="550"/>
      <c r="L127" s="550"/>
      <c r="M127" s="550"/>
      <c r="N127" s="550"/>
      <c r="O127" s="550"/>
      <c r="P127" s="550"/>
      <c r="Q127" s="550"/>
      <c r="R127" s="550"/>
      <c r="S127" s="550"/>
      <c r="T127" s="550"/>
      <c r="U127" s="550"/>
      <c r="V127" s="550"/>
      <c r="W127" s="550"/>
      <c r="X127" s="550"/>
      <c r="Y127" s="550"/>
      <c r="Z127" s="550"/>
      <c r="AA127" s="550"/>
      <c r="AB127" s="550"/>
      <c r="AC127" s="550"/>
      <c r="AD127" s="550"/>
      <c r="AE127" s="550"/>
      <c r="AF127" s="550"/>
      <c r="AG127" s="550"/>
      <c r="AH127" s="550"/>
      <c r="AI127" s="550"/>
      <c r="AJ127" s="550"/>
      <c r="AK127" s="550"/>
    </row>
    <row r="128" spans="1:37">
      <c r="A128" s="550"/>
      <c r="B128" s="550"/>
      <c r="C128" s="550"/>
      <c r="D128" s="550"/>
      <c r="E128" s="550"/>
      <c r="F128" s="550"/>
      <c r="G128" s="550"/>
      <c r="H128" s="550"/>
      <c r="I128" s="550"/>
      <c r="J128" s="550"/>
      <c r="K128" s="550"/>
      <c r="L128" s="550"/>
      <c r="M128" s="550"/>
      <c r="N128" s="550"/>
      <c r="O128" s="550"/>
      <c r="P128" s="550"/>
      <c r="Q128" s="550"/>
      <c r="R128" s="550"/>
      <c r="S128" s="550"/>
      <c r="T128" s="550"/>
      <c r="U128" s="550"/>
      <c r="V128" s="550"/>
      <c r="W128" s="550"/>
      <c r="X128" s="550"/>
      <c r="Y128" s="550"/>
      <c r="Z128" s="550"/>
      <c r="AA128" s="550"/>
      <c r="AB128" s="550"/>
      <c r="AC128" s="550"/>
      <c r="AD128" s="550"/>
      <c r="AE128" s="550"/>
      <c r="AF128" s="550"/>
      <c r="AG128" s="550"/>
      <c r="AH128" s="550"/>
      <c r="AI128" s="550"/>
      <c r="AJ128" s="550"/>
      <c r="AK128" s="550"/>
    </row>
    <row r="129" spans="1:37">
      <c r="A129" s="550"/>
      <c r="B129" s="550"/>
      <c r="C129" s="550"/>
      <c r="D129" s="550"/>
      <c r="E129" s="550"/>
      <c r="F129" s="550"/>
      <c r="G129" s="550"/>
      <c r="H129" s="550"/>
      <c r="I129" s="550"/>
      <c r="J129" s="550"/>
      <c r="K129" s="550"/>
      <c r="L129" s="550"/>
      <c r="M129" s="550"/>
      <c r="N129" s="550"/>
      <c r="O129" s="550"/>
      <c r="P129" s="550"/>
      <c r="Q129" s="550"/>
      <c r="R129" s="550"/>
      <c r="S129" s="550"/>
      <c r="T129" s="550"/>
      <c r="U129" s="550"/>
      <c r="V129" s="550"/>
      <c r="W129" s="550"/>
      <c r="X129" s="550"/>
      <c r="Y129" s="550"/>
      <c r="Z129" s="550"/>
      <c r="AA129" s="550"/>
      <c r="AB129" s="550"/>
      <c r="AC129" s="550"/>
      <c r="AD129" s="550"/>
      <c r="AE129" s="550"/>
      <c r="AF129" s="550"/>
      <c r="AG129" s="550"/>
      <c r="AH129" s="550"/>
      <c r="AI129" s="550"/>
      <c r="AJ129" s="550"/>
      <c r="AK129" s="550"/>
    </row>
    <row r="130" spans="1:37">
      <c r="A130" s="550"/>
      <c r="B130" s="550"/>
      <c r="C130" s="550"/>
      <c r="D130" s="550"/>
      <c r="E130" s="550"/>
      <c r="F130" s="550"/>
      <c r="G130" s="550"/>
      <c r="H130" s="550"/>
      <c r="I130" s="550"/>
      <c r="J130" s="550"/>
      <c r="K130" s="550"/>
      <c r="L130" s="550"/>
      <c r="M130" s="550"/>
      <c r="N130" s="550"/>
      <c r="O130" s="550"/>
      <c r="P130" s="550"/>
      <c r="Q130" s="550"/>
      <c r="R130" s="550"/>
      <c r="S130" s="550"/>
      <c r="T130" s="550"/>
      <c r="U130" s="550"/>
      <c r="V130" s="550"/>
      <c r="W130" s="550"/>
      <c r="X130" s="550"/>
      <c r="Y130" s="550"/>
      <c r="Z130" s="550"/>
      <c r="AA130" s="550"/>
      <c r="AB130" s="550"/>
      <c r="AC130" s="550"/>
      <c r="AD130" s="550"/>
      <c r="AE130" s="550"/>
      <c r="AF130" s="550"/>
      <c r="AG130" s="550"/>
      <c r="AH130" s="550"/>
      <c r="AI130" s="550"/>
      <c r="AJ130" s="550"/>
      <c r="AK130" s="550"/>
    </row>
    <row r="131" spans="1:37">
      <c r="A131" s="550"/>
      <c r="B131" s="550"/>
      <c r="C131" s="550"/>
      <c r="D131" s="550"/>
      <c r="E131" s="550"/>
      <c r="F131" s="550"/>
      <c r="G131" s="550"/>
      <c r="H131" s="550"/>
      <c r="I131" s="550"/>
      <c r="J131" s="550"/>
      <c r="K131" s="550"/>
      <c r="L131" s="550"/>
      <c r="M131" s="550"/>
      <c r="N131" s="550"/>
      <c r="O131" s="550"/>
      <c r="P131" s="550"/>
      <c r="Q131" s="550"/>
      <c r="R131" s="550"/>
      <c r="S131" s="550"/>
      <c r="T131" s="550"/>
      <c r="U131" s="550"/>
      <c r="V131" s="550"/>
      <c r="W131" s="550"/>
      <c r="X131" s="550"/>
      <c r="Y131" s="550"/>
      <c r="Z131" s="550"/>
      <c r="AA131" s="550"/>
      <c r="AB131" s="550"/>
      <c r="AC131" s="550"/>
      <c r="AD131" s="550"/>
      <c r="AE131" s="550"/>
      <c r="AF131" s="550"/>
      <c r="AG131" s="550"/>
      <c r="AH131" s="550"/>
      <c r="AI131" s="550"/>
      <c r="AJ131" s="550"/>
      <c r="AK131" s="550"/>
    </row>
    <row r="132" spans="1:37">
      <c r="A132" s="550"/>
      <c r="B132" s="550"/>
      <c r="C132" s="550"/>
      <c r="D132" s="550"/>
      <c r="E132" s="550"/>
      <c r="F132" s="550"/>
      <c r="G132" s="550"/>
      <c r="H132" s="550"/>
      <c r="I132" s="550"/>
      <c r="J132" s="550"/>
      <c r="K132" s="550"/>
      <c r="L132" s="550"/>
      <c r="M132" s="550"/>
      <c r="N132" s="550"/>
      <c r="O132" s="550"/>
      <c r="P132" s="550"/>
      <c r="Q132" s="550"/>
      <c r="R132" s="550"/>
      <c r="S132" s="550"/>
      <c r="T132" s="550"/>
      <c r="U132" s="550"/>
      <c r="V132" s="550"/>
      <c r="W132" s="550"/>
      <c r="X132" s="550"/>
      <c r="Y132" s="550"/>
      <c r="Z132" s="550"/>
      <c r="AA132" s="550"/>
      <c r="AB132" s="550"/>
      <c r="AC132" s="550"/>
      <c r="AD132" s="550"/>
      <c r="AE132" s="550"/>
      <c r="AF132" s="550"/>
      <c r="AG132" s="550"/>
      <c r="AH132" s="550"/>
      <c r="AI132" s="550"/>
      <c r="AJ132" s="550"/>
      <c r="AK132" s="550"/>
    </row>
    <row r="133" spans="1:37">
      <c r="A133" s="550"/>
      <c r="B133" s="550"/>
      <c r="C133" s="550"/>
      <c r="D133" s="550"/>
      <c r="E133" s="550"/>
      <c r="F133" s="550"/>
      <c r="G133" s="550"/>
      <c r="H133" s="550"/>
      <c r="I133" s="550"/>
      <c r="J133" s="550"/>
      <c r="K133" s="550"/>
      <c r="L133" s="550"/>
      <c r="M133" s="550"/>
      <c r="N133" s="550"/>
      <c r="O133" s="550"/>
      <c r="P133" s="550"/>
      <c r="Q133" s="550"/>
      <c r="R133" s="550"/>
      <c r="S133" s="550"/>
      <c r="T133" s="550"/>
      <c r="U133" s="550"/>
      <c r="V133" s="550"/>
      <c r="W133" s="550"/>
      <c r="X133" s="550"/>
      <c r="Y133" s="550"/>
      <c r="Z133" s="550"/>
      <c r="AA133" s="550"/>
      <c r="AB133" s="550"/>
      <c r="AC133" s="550"/>
      <c r="AD133" s="550"/>
      <c r="AE133" s="550"/>
      <c r="AF133" s="550"/>
      <c r="AG133" s="550"/>
      <c r="AH133" s="550"/>
      <c r="AI133" s="550"/>
      <c r="AJ133" s="550"/>
      <c r="AK133" s="550"/>
    </row>
    <row r="134" spans="1:37">
      <c r="A134" s="550"/>
      <c r="B134" s="550"/>
      <c r="C134" s="550"/>
      <c r="D134" s="550"/>
      <c r="E134" s="550"/>
      <c r="F134" s="550"/>
      <c r="G134" s="550"/>
      <c r="H134" s="550"/>
      <c r="I134" s="550"/>
      <c r="J134" s="550"/>
      <c r="K134" s="550"/>
      <c r="L134" s="550"/>
      <c r="M134" s="550"/>
      <c r="N134" s="550"/>
      <c r="O134" s="550"/>
      <c r="P134" s="550"/>
      <c r="Q134" s="550"/>
      <c r="R134" s="550"/>
      <c r="S134" s="550"/>
      <c r="T134" s="550"/>
      <c r="U134" s="550"/>
      <c r="V134" s="550"/>
      <c r="W134" s="550"/>
      <c r="X134" s="550"/>
      <c r="Y134" s="550"/>
      <c r="Z134" s="550"/>
      <c r="AA134" s="550"/>
      <c r="AB134" s="550"/>
      <c r="AC134" s="550"/>
      <c r="AD134" s="550"/>
      <c r="AE134" s="550"/>
      <c r="AF134" s="550"/>
      <c r="AG134" s="550"/>
      <c r="AH134" s="550"/>
      <c r="AI134" s="550"/>
      <c r="AJ134" s="550"/>
      <c r="AK134" s="550"/>
    </row>
    <row r="135" spans="1:37">
      <c r="A135" s="550"/>
      <c r="B135" s="550"/>
      <c r="C135" s="550"/>
      <c r="D135" s="550"/>
      <c r="E135" s="550"/>
      <c r="F135" s="550"/>
      <c r="G135" s="550"/>
      <c r="H135" s="550"/>
      <c r="I135" s="550"/>
      <c r="J135" s="550"/>
      <c r="K135" s="550"/>
      <c r="L135" s="550"/>
      <c r="M135" s="550"/>
      <c r="N135" s="550"/>
      <c r="O135" s="550"/>
      <c r="P135" s="550"/>
      <c r="Q135" s="550"/>
      <c r="R135" s="550"/>
      <c r="S135" s="550"/>
      <c r="T135" s="550"/>
      <c r="U135" s="550"/>
      <c r="V135" s="550"/>
      <c r="W135" s="550"/>
      <c r="X135" s="550"/>
      <c r="Y135" s="550"/>
      <c r="Z135" s="550"/>
      <c r="AA135" s="550"/>
      <c r="AB135" s="550"/>
      <c r="AC135" s="550"/>
      <c r="AD135" s="550"/>
      <c r="AE135" s="550"/>
      <c r="AF135" s="550"/>
      <c r="AG135" s="550"/>
      <c r="AH135" s="550"/>
      <c r="AI135" s="550"/>
      <c r="AJ135" s="550"/>
      <c r="AK135" s="550"/>
    </row>
    <row r="136" spans="1:37">
      <c r="A136" s="550"/>
      <c r="B136" s="550"/>
      <c r="C136" s="550"/>
      <c r="D136" s="550"/>
      <c r="E136" s="550"/>
      <c r="F136" s="550"/>
      <c r="G136" s="550"/>
      <c r="H136" s="550"/>
      <c r="I136" s="550"/>
      <c r="J136" s="550"/>
      <c r="K136" s="550"/>
      <c r="L136" s="550"/>
      <c r="M136" s="550"/>
      <c r="N136" s="550"/>
      <c r="O136" s="550"/>
      <c r="P136" s="550"/>
      <c r="Q136" s="550"/>
      <c r="R136" s="550"/>
      <c r="S136" s="550"/>
      <c r="T136" s="550"/>
      <c r="U136" s="550"/>
      <c r="V136" s="550"/>
      <c r="W136" s="550"/>
      <c r="X136" s="550"/>
      <c r="Y136" s="550"/>
      <c r="Z136" s="550"/>
      <c r="AA136" s="550"/>
      <c r="AB136" s="550"/>
      <c r="AC136" s="550"/>
      <c r="AD136" s="550"/>
      <c r="AE136" s="550"/>
      <c r="AF136" s="550"/>
      <c r="AG136" s="550"/>
      <c r="AH136" s="550"/>
      <c r="AI136" s="550"/>
      <c r="AJ136" s="550"/>
      <c r="AK136" s="550"/>
    </row>
    <row r="137" spans="1:37">
      <c r="A137" s="550"/>
      <c r="B137" s="550"/>
      <c r="C137" s="550"/>
      <c r="D137" s="550"/>
      <c r="E137" s="550"/>
      <c r="F137" s="550"/>
      <c r="G137" s="550"/>
      <c r="H137" s="550"/>
      <c r="I137" s="550"/>
      <c r="J137" s="550"/>
      <c r="K137" s="550"/>
      <c r="L137" s="550"/>
      <c r="M137" s="550"/>
      <c r="N137" s="550"/>
      <c r="O137" s="550"/>
      <c r="P137" s="550"/>
      <c r="Q137" s="550"/>
      <c r="R137" s="550"/>
      <c r="S137" s="550"/>
      <c r="T137" s="550"/>
      <c r="U137" s="550"/>
      <c r="V137" s="550"/>
      <c r="W137" s="550"/>
      <c r="X137" s="550"/>
      <c r="Y137" s="550"/>
      <c r="Z137" s="550"/>
      <c r="AA137" s="550"/>
      <c r="AB137" s="550"/>
      <c r="AC137" s="550"/>
      <c r="AD137" s="550"/>
      <c r="AE137" s="550"/>
      <c r="AF137" s="550"/>
      <c r="AG137" s="550"/>
      <c r="AH137" s="550"/>
      <c r="AI137" s="550"/>
      <c r="AJ137" s="550"/>
      <c r="AK137" s="550"/>
    </row>
    <row r="138" spans="1:37">
      <c r="A138" s="550"/>
      <c r="B138" s="550"/>
      <c r="C138" s="550"/>
      <c r="D138" s="550"/>
      <c r="E138" s="550"/>
      <c r="F138" s="550"/>
      <c r="G138" s="550"/>
      <c r="H138" s="550"/>
      <c r="I138" s="550"/>
      <c r="J138" s="550"/>
      <c r="K138" s="550"/>
      <c r="L138" s="550"/>
      <c r="M138" s="550"/>
      <c r="N138" s="550"/>
      <c r="O138" s="550"/>
      <c r="P138" s="550"/>
      <c r="Q138" s="550"/>
      <c r="R138" s="550"/>
      <c r="S138" s="550"/>
      <c r="T138" s="550"/>
      <c r="U138" s="550"/>
      <c r="V138" s="550"/>
      <c r="W138" s="550"/>
      <c r="X138" s="550"/>
      <c r="Y138" s="550"/>
      <c r="Z138" s="550"/>
      <c r="AA138" s="550"/>
      <c r="AB138" s="550"/>
      <c r="AC138" s="550"/>
      <c r="AD138" s="550"/>
      <c r="AE138" s="550"/>
      <c r="AF138" s="550"/>
      <c r="AG138" s="550"/>
      <c r="AH138" s="550"/>
      <c r="AI138" s="550"/>
      <c r="AJ138" s="550"/>
      <c r="AK138" s="550"/>
    </row>
    <row r="139" spans="1:37">
      <c r="A139" s="550"/>
      <c r="B139" s="550"/>
      <c r="C139" s="550"/>
      <c r="D139" s="550"/>
      <c r="E139" s="550"/>
      <c r="F139" s="550"/>
      <c r="G139" s="550"/>
      <c r="H139" s="550"/>
      <c r="I139" s="550"/>
      <c r="J139" s="550"/>
      <c r="K139" s="550"/>
      <c r="L139" s="550"/>
      <c r="M139" s="550"/>
      <c r="N139" s="550"/>
      <c r="O139" s="550"/>
      <c r="P139" s="550"/>
      <c r="Q139" s="550"/>
      <c r="R139" s="550"/>
      <c r="S139" s="550"/>
      <c r="T139" s="550"/>
      <c r="U139" s="550"/>
      <c r="V139" s="550"/>
      <c r="W139" s="550"/>
      <c r="X139" s="550"/>
      <c r="Y139" s="550"/>
      <c r="Z139" s="550"/>
      <c r="AA139" s="550"/>
      <c r="AB139" s="550"/>
      <c r="AC139" s="550"/>
      <c r="AD139" s="550"/>
      <c r="AE139" s="550"/>
      <c r="AF139" s="550"/>
      <c r="AG139" s="550"/>
      <c r="AH139" s="550"/>
      <c r="AI139" s="550"/>
      <c r="AJ139" s="550"/>
      <c r="AK139" s="550"/>
    </row>
    <row r="140" spans="1:37">
      <c r="A140" s="550"/>
      <c r="B140" s="550"/>
      <c r="C140" s="550"/>
      <c r="D140" s="550"/>
      <c r="E140" s="550"/>
      <c r="F140" s="550"/>
      <c r="G140" s="550"/>
      <c r="H140" s="550"/>
      <c r="I140" s="550"/>
      <c r="J140" s="550"/>
      <c r="K140" s="550"/>
      <c r="L140" s="550"/>
      <c r="M140" s="550"/>
      <c r="N140" s="550"/>
      <c r="O140" s="550"/>
      <c r="P140" s="550"/>
      <c r="Q140" s="550"/>
      <c r="R140" s="550"/>
      <c r="S140" s="550"/>
      <c r="T140" s="550"/>
      <c r="U140" s="550"/>
      <c r="V140" s="550"/>
      <c r="W140" s="550"/>
      <c r="X140" s="550"/>
      <c r="Y140" s="550"/>
      <c r="Z140" s="550"/>
      <c r="AA140" s="550"/>
      <c r="AB140" s="550"/>
      <c r="AC140" s="550"/>
      <c r="AD140" s="550"/>
      <c r="AE140" s="550"/>
      <c r="AF140" s="550"/>
      <c r="AG140" s="550"/>
      <c r="AH140" s="550"/>
      <c r="AI140" s="550"/>
      <c r="AJ140" s="550"/>
      <c r="AK140" s="550"/>
    </row>
    <row r="141" spans="1:37">
      <c r="A141" s="550"/>
      <c r="B141" s="550"/>
      <c r="C141" s="550"/>
      <c r="D141" s="550"/>
      <c r="E141" s="550"/>
      <c r="F141" s="550"/>
      <c r="G141" s="550"/>
      <c r="H141" s="550"/>
      <c r="I141" s="550"/>
      <c r="J141" s="550"/>
      <c r="K141" s="550"/>
      <c r="L141" s="550"/>
      <c r="M141" s="550"/>
      <c r="N141" s="550"/>
      <c r="O141" s="550"/>
      <c r="P141" s="550"/>
      <c r="Q141" s="550"/>
      <c r="R141" s="550"/>
      <c r="S141" s="550"/>
      <c r="T141" s="550"/>
      <c r="U141" s="550"/>
      <c r="V141" s="550"/>
      <c r="W141" s="550"/>
      <c r="X141" s="550"/>
      <c r="Y141" s="550"/>
      <c r="Z141" s="550"/>
      <c r="AA141" s="550"/>
      <c r="AB141" s="550"/>
      <c r="AC141" s="550"/>
      <c r="AD141" s="550"/>
      <c r="AE141" s="550"/>
      <c r="AF141" s="550"/>
      <c r="AG141" s="550"/>
      <c r="AH141" s="550"/>
      <c r="AI141" s="550"/>
      <c r="AJ141" s="550"/>
      <c r="AK141" s="550"/>
    </row>
    <row r="142" spans="1:37">
      <c r="A142" s="550"/>
      <c r="B142" s="550"/>
      <c r="C142" s="550"/>
      <c r="D142" s="550"/>
      <c r="E142" s="550"/>
      <c r="F142" s="550"/>
      <c r="G142" s="550"/>
      <c r="H142" s="550"/>
      <c r="I142" s="550"/>
      <c r="J142" s="550"/>
      <c r="K142" s="550"/>
      <c r="L142" s="550"/>
      <c r="M142" s="550"/>
      <c r="N142" s="550"/>
      <c r="O142" s="550"/>
      <c r="P142" s="550"/>
      <c r="Q142" s="550"/>
      <c r="R142" s="550"/>
      <c r="S142" s="550"/>
      <c r="T142" s="550"/>
      <c r="U142" s="550"/>
      <c r="V142" s="550"/>
      <c r="W142" s="550"/>
      <c r="X142" s="550"/>
      <c r="Y142" s="550"/>
      <c r="Z142" s="550"/>
      <c r="AA142" s="550"/>
      <c r="AB142" s="550"/>
      <c r="AC142" s="550"/>
      <c r="AD142" s="550"/>
      <c r="AE142" s="550"/>
      <c r="AF142" s="550"/>
      <c r="AG142" s="550"/>
      <c r="AH142" s="550"/>
      <c r="AI142" s="550"/>
      <c r="AJ142" s="550"/>
      <c r="AK142" s="550"/>
    </row>
    <row r="143" spans="1:37">
      <c r="A143" s="550"/>
      <c r="B143" s="550"/>
      <c r="C143" s="550"/>
      <c r="D143" s="550"/>
      <c r="E143" s="550"/>
      <c r="F143" s="550"/>
      <c r="G143" s="550"/>
      <c r="H143" s="550"/>
      <c r="I143" s="550"/>
      <c r="J143" s="550"/>
      <c r="K143" s="550"/>
      <c r="L143" s="550"/>
      <c r="M143" s="550"/>
      <c r="N143" s="550"/>
      <c r="O143" s="550"/>
      <c r="P143" s="550"/>
      <c r="Q143" s="550"/>
      <c r="R143" s="550"/>
      <c r="S143" s="550"/>
      <c r="T143" s="550"/>
      <c r="U143" s="550"/>
      <c r="V143" s="550"/>
      <c r="W143" s="550"/>
      <c r="X143" s="550"/>
      <c r="Y143" s="550"/>
      <c r="Z143" s="550"/>
      <c r="AA143" s="550"/>
      <c r="AB143" s="550"/>
      <c r="AC143" s="550"/>
      <c r="AD143" s="550"/>
      <c r="AE143" s="550"/>
      <c r="AF143" s="550"/>
      <c r="AG143" s="550"/>
      <c r="AH143" s="550"/>
      <c r="AI143" s="550"/>
      <c r="AJ143" s="550"/>
      <c r="AK143" s="550"/>
    </row>
    <row r="144" spans="1:37">
      <c r="A144" s="550"/>
      <c r="B144" s="550"/>
      <c r="C144" s="550"/>
      <c r="D144" s="550"/>
      <c r="E144" s="550"/>
      <c r="F144" s="550"/>
      <c r="G144" s="550"/>
      <c r="H144" s="550"/>
      <c r="I144" s="550"/>
      <c r="J144" s="550"/>
      <c r="K144" s="550"/>
      <c r="L144" s="550"/>
      <c r="M144" s="550"/>
      <c r="N144" s="550"/>
      <c r="O144" s="550"/>
      <c r="P144" s="550"/>
      <c r="Q144" s="550"/>
      <c r="R144" s="550"/>
      <c r="S144" s="550"/>
      <c r="T144" s="550"/>
      <c r="U144" s="550"/>
      <c r="V144" s="550"/>
      <c r="W144" s="550"/>
      <c r="X144" s="550"/>
      <c r="Y144" s="550"/>
      <c r="Z144" s="550"/>
      <c r="AA144" s="550"/>
      <c r="AB144" s="550"/>
      <c r="AC144" s="550"/>
      <c r="AD144" s="550"/>
      <c r="AE144" s="550"/>
      <c r="AF144" s="550"/>
      <c r="AG144" s="550"/>
      <c r="AH144" s="550"/>
      <c r="AI144" s="550"/>
      <c r="AJ144" s="550"/>
      <c r="AK144" s="550"/>
    </row>
    <row r="145" spans="1:37">
      <c r="A145" s="550"/>
      <c r="B145" s="550"/>
      <c r="C145" s="550"/>
      <c r="D145" s="550"/>
      <c r="E145" s="550"/>
      <c r="F145" s="550"/>
      <c r="G145" s="550"/>
      <c r="H145" s="550"/>
      <c r="I145" s="550"/>
      <c r="J145" s="550"/>
      <c r="K145" s="550"/>
      <c r="L145" s="550"/>
      <c r="M145" s="550"/>
      <c r="N145" s="550"/>
      <c r="O145" s="550"/>
      <c r="P145" s="550"/>
      <c r="Q145" s="550"/>
      <c r="R145" s="550"/>
      <c r="S145" s="550"/>
      <c r="T145" s="550"/>
      <c r="U145" s="550"/>
      <c r="V145" s="550"/>
      <c r="W145" s="550"/>
      <c r="X145" s="550"/>
      <c r="Y145" s="550"/>
      <c r="Z145" s="550"/>
      <c r="AA145" s="550"/>
      <c r="AB145" s="550"/>
      <c r="AC145" s="550"/>
      <c r="AD145" s="550"/>
      <c r="AE145" s="550"/>
      <c r="AF145" s="550"/>
      <c r="AG145" s="550"/>
      <c r="AH145" s="550"/>
      <c r="AI145" s="550"/>
      <c r="AJ145" s="550"/>
      <c r="AK145" s="550"/>
    </row>
    <row r="146" spans="1:37">
      <c r="A146" s="550"/>
      <c r="B146" s="550"/>
      <c r="C146" s="550"/>
      <c r="D146" s="550"/>
      <c r="E146" s="550"/>
      <c r="F146" s="550"/>
      <c r="G146" s="550"/>
      <c r="H146" s="550"/>
      <c r="I146" s="550"/>
      <c r="J146" s="550"/>
      <c r="K146" s="550"/>
      <c r="L146" s="550"/>
      <c r="M146" s="550"/>
      <c r="N146" s="550"/>
      <c r="O146" s="550"/>
      <c r="P146" s="550"/>
      <c r="Q146" s="550"/>
      <c r="R146" s="550"/>
      <c r="S146" s="550"/>
      <c r="T146" s="550"/>
      <c r="U146" s="550"/>
      <c r="V146" s="550"/>
      <c r="W146" s="550"/>
      <c r="X146" s="550"/>
      <c r="Y146" s="550"/>
      <c r="Z146" s="550"/>
      <c r="AA146" s="550"/>
      <c r="AB146" s="550"/>
      <c r="AC146" s="550"/>
      <c r="AD146" s="550"/>
      <c r="AE146" s="550"/>
      <c r="AF146" s="550"/>
      <c r="AG146" s="550"/>
      <c r="AH146" s="550"/>
      <c r="AI146" s="550"/>
      <c r="AJ146" s="550"/>
      <c r="AK146" s="550"/>
    </row>
    <row r="147" spans="1:37">
      <c r="A147" s="550"/>
      <c r="B147" s="550"/>
      <c r="C147" s="550"/>
      <c r="D147" s="550"/>
      <c r="E147" s="550"/>
      <c r="F147" s="550"/>
      <c r="G147" s="550"/>
      <c r="H147" s="550"/>
      <c r="I147" s="550"/>
      <c r="J147" s="550"/>
      <c r="K147" s="550"/>
      <c r="L147" s="550"/>
      <c r="M147" s="550"/>
      <c r="N147" s="550"/>
      <c r="O147" s="550"/>
      <c r="P147" s="550"/>
      <c r="Q147" s="550"/>
      <c r="R147" s="550"/>
      <c r="S147" s="550"/>
      <c r="T147" s="550"/>
      <c r="U147" s="550"/>
      <c r="V147" s="550"/>
      <c r="W147" s="550"/>
      <c r="X147" s="550"/>
      <c r="Y147" s="550"/>
      <c r="Z147" s="550"/>
      <c r="AA147" s="550"/>
      <c r="AB147" s="550"/>
      <c r="AC147" s="550"/>
      <c r="AD147" s="550"/>
      <c r="AE147" s="550"/>
      <c r="AF147" s="550"/>
      <c r="AG147" s="550"/>
      <c r="AH147" s="550"/>
      <c r="AI147" s="550"/>
      <c r="AJ147" s="550"/>
      <c r="AK147" s="550"/>
    </row>
    <row r="148" spans="1:37">
      <c r="A148" s="550"/>
      <c r="B148" s="550"/>
      <c r="C148" s="550"/>
      <c r="D148" s="550"/>
      <c r="E148" s="550"/>
      <c r="F148" s="550"/>
      <c r="G148" s="550"/>
      <c r="H148" s="550"/>
      <c r="I148" s="550"/>
      <c r="J148" s="550"/>
      <c r="K148" s="550"/>
      <c r="L148" s="550"/>
      <c r="M148" s="550"/>
      <c r="N148" s="550"/>
      <c r="O148" s="550"/>
      <c r="P148" s="550"/>
      <c r="Q148" s="550"/>
      <c r="R148" s="550"/>
      <c r="S148" s="550"/>
      <c r="T148" s="550"/>
      <c r="U148" s="550"/>
      <c r="V148" s="550"/>
      <c r="W148" s="550"/>
      <c r="X148" s="550"/>
      <c r="Y148" s="550"/>
      <c r="Z148" s="550"/>
      <c r="AA148" s="550"/>
      <c r="AB148" s="550"/>
      <c r="AC148" s="550"/>
      <c r="AD148" s="550"/>
      <c r="AE148" s="550"/>
      <c r="AF148" s="550"/>
      <c r="AG148" s="550"/>
      <c r="AH148" s="550"/>
      <c r="AI148" s="550"/>
      <c r="AJ148" s="550"/>
      <c r="AK148" s="550"/>
    </row>
    <row r="149" spans="1:37">
      <c r="A149" s="550"/>
      <c r="B149" s="550"/>
      <c r="C149" s="550"/>
      <c r="D149" s="550"/>
      <c r="E149" s="550"/>
      <c r="F149" s="550"/>
      <c r="G149" s="550"/>
      <c r="H149" s="550"/>
      <c r="I149" s="550"/>
      <c r="J149" s="550"/>
      <c r="K149" s="550"/>
      <c r="L149" s="550"/>
      <c r="M149" s="550"/>
      <c r="N149" s="550"/>
      <c r="O149" s="550"/>
      <c r="P149" s="550"/>
      <c r="Q149" s="550"/>
      <c r="R149" s="550"/>
      <c r="S149" s="550"/>
      <c r="T149" s="550"/>
      <c r="U149" s="550"/>
      <c r="V149" s="550"/>
      <c r="W149" s="550"/>
      <c r="X149" s="550"/>
      <c r="Y149" s="550"/>
      <c r="Z149" s="550"/>
      <c r="AA149" s="550"/>
      <c r="AB149" s="550"/>
      <c r="AC149" s="550"/>
      <c r="AD149" s="550"/>
      <c r="AE149" s="550"/>
      <c r="AF149" s="550"/>
      <c r="AG149" s="550"/>
      <c r="AH149" s="550"/>
      <c r="AI149" s="550"/>
      <c r="AJ149" s="550"/>
      <c r="AK149" s="550"/>
    </row>
    <row r="150" spans="1:37">
      <c r="A150" s="550"/>
      <c r="B150" s="550"/>
      <c r="C150" s="550"/>
      <c r="D150" s="550"/>
      <c r="E150" s="550"/>
      <c r="F150" s="550"/>
      <c r="G150" s="550"/>
      <c r="H150" s="550"/>
      <c r="I150" s="550"/>
      <c r="J150" s="550"/>
      <c r="K150" s="550"/>
      <c r="L150" s="550"/>
      <c r="M150" s="550"/>
      <c r="N150" s="550"/>
      <c r="O150" s="550"/>
      <c r="P150" s="550"/>
      <c r="Q150" s="550"/>
      <c r="R150" s="550"/>
      <c r="S150" s="550"/>
      <c r="T150" s="550"/>
      <c r="U150" s="550"/>
      <c r="V150" s="550"/>
      <c r="W150" s="550"/>
      <c r="X150" s="550"/>
      <c r="Y150" s="550"/>
      <c r="Z150" s="550"/>
      <c r="AA150" s="550"/>
      <c r="AB150" s="550"/>
      <c r="AC150" s="550"/>
      <c r="AD150" s="550"/>
      <c r="AE150" s="550"/>
      <c r="AF150" s="550"/>
      <c r="AG150" s="550"/>
      <c r="AH150" s="550"/>
      <c r="AI150" s="550"/>
      <c r="AJ150" s="550"/>
      <c r="AK150" s="550"/>
    </row>
    <row r="151" spans="1:37">
      <c r="A151" s="550"/>
      <c r="B151" s="550"/>
      <c r="C151" s="550"/>
      <c r="D151" s="550"/>
      <c r="E151" s="550"/>
      <c r="F151" s="550"/>
      <c r="G151" s="550"/>
      <c r="H151" s="550"/>
      <c r="I151" s="550"/>
      <c r="J151" s="550"/>
      <c r="K151" s="550"/>
      <c r="L151" s="550"/>
      <c r="M151" s="550"/>
      <c r="N151" s="550"/>
      <c r="O151" s="550"/>
      <c r="P151" s="550"/>
      <c r="Q151" s="550"/>
      <c r="R151" s="550"/>
      <c r="S151" s="550"/>
      <c r="T151" s="550"/>
      <c r="U151" s="550"/>
      <c r="V151" s="550"/>
      <c r="W151" s="550"/>
      <c r="X151" s="550"/>
      <c r="Y151" s="550"/>
      <c r="Z151" s="550"/>
      <c r="AA151" s="550"/>
      <c r="AB151" s="550"/>
      <c r="AC151" s="550"/>
      <c r="AD151" s="550"/>
      <c r="AE151" s="550"/>
      <c r="AF151" s="550"/>
      <c r="AG151" s="550"/>
      <c r="AH151" s="550"/>
      <c r="AI151" s="550"/>
      <c r="AJ151" s="550"/>
      <c r="AK151" s="550"/>
    </row>
    <row r="152" spans="1:37">
      <c r="A152" s="550"/>
      <c r="B152" s="550"/>
      <c r="C152" s="550"/>
      <c r="D152" s="550"/>
      <c r="E152" s="550"/>
      <c r="F152" s="550"/>
      <c r="G152" s="550"/>
      <c r="H152" s="550"/>
      <c r="I152" s="550"/>
      <c r="J152" s="550"/>
      <c r="K152" s="550"/>
      <c r="L152" s="550"/>
      <c r="M152" s="550"/>
      <c r="N152" s="550"/>
      <c r="O152" s="550"/>
      <c r="P152" s="550"/>
      <c r="Q152" s="550"/>
      <c r="R152" s="550"/>
      <c r="S152" s="550"/>
      <c r="T152" s="550"/>
      <c r="U152" s="550"/>
      <c r="V152" s="550"/>
      <c r="W152" s="550"/>
      <c r="X152" s="550"/>
      <c r="Y152" s="550"/>
      <c r="Z152" s="550"/>
      <c r="AA152" s="550"/>
      <c r="AB152" s="550"/>
      <c r="AC152" s="550"/>
      <c r="AD152" s="550"/>
      <c r="AE152" s="550"/>
      <c r="AF152" s="550"/>
      <c r="AG152" s="550"/>
      <c r="AH152" s="550"/>
      <c r="AI152" s="550"/>
      <c r="AJ152" s="550"/>
      <c r="AK152" s="550"/>
    </row>
    <row r="153" spans="1:37">
      <c r="A153" s="550"/>
      <c r="B153" s="550"/>
      <c r="C153" s="550"/>
      <c r="D153" s="550"/>
      <c r="E153" s="550"/>
      <c r="F153" s="550"/>
      <c r="G153" s="550"/>
      <c r="H153" s="550"/>
      <c r="I153" s="550"/>
      <c r="J153" s="550"/>
      <c r="K153" s="550"/>
      <c r="L153" s="550"/>
      <c r="M153" s="550"/>
      <c r="N153" s="550"/>
      <c r="O153" s="550"/>
      <c r="P153" s="550"/>
      <c r="Q153" s="550"/>
      <c r="R153" s="550"/>
      <c r="S153" s="550"/>
      <c r="T153" s="550"/>
      <c r="U153" s="550"/>
      <c r="V153" s="550"/>
      <c r="W153" s="550"/>
      <c r="X153" s="550"/>
      <c r="Y153" s="550"/>
      <c r="Z153" s="550"/>
      <c r="AA153" s="550"/>
      <c r="AB153" s="550"/>
      <c r="AC153" s="550"/>
      <c r="AD153" s="550"/>
      <c r="AE153" s="550"/>
      <c r="AF153" s="550"/>
      <c r="AG153" s="550"/>
      <c r="AH153" s="550"/>
      <c r="AI153" s="550"/>
      <c r="AJ153" s="550"/>
      <c r="AK153" s="550"/>
    </row>
    <row r="154" spans="1:37">
      <c r="A154" s="550"/>
      <c r="B154" s="550"/>
      <c r="C154" s="550"/>
      <c r="D154" s="550"/>
      <c r="E154" s="550"/>
      <c r="F154" s="550"/>
      <c r="G154" s="550"/>
      <c r="H154" s="550"/>
      <c r="I154" s="550"/>
      <c r="J154" s="550"/>
      <c r="K154" s="550"/>
      <c r="L154" s="550"/>
      <c r="M154" s="550"/>
      <c r="N154" s="550"/>
      <c r="O154" s="550"/>
      <c r="P154" s="550"/>
      <c r="Q154" s="550"/>
      <c r="R154" s="550"/>
      <c r="S154" s="550"/>
      <c r="T154" s="550"/>
      <c r="U154" s="550"/>
      <c r="V154" s="550"/>
      <c r="W154" s="550"/>
      <c r="X154" s="550"/>
      <c r="Y154" s="550"/>
      <c r="Z154" s="550"/>
      <c r="AA154" s="550"/>
      <c r="AB154" s="550"/>
      <c r="AC154" s="550"/>
      <c r="AD154" s="550"/>
      <c r="AE154" s="550"/>
      <c r="AF154" s="550"/>
      <c r="AG154" s="550"/>
      <c r="AH154" s="550"/>
      <c r="AI154" s="550"/>
      <c r="AJ154" s="550"/>
      <c r="AK154" s="550"/>
    </row>
    <row r="155" spans="1:37">
      <c r="A155" s="550"/>
      <c r="B155" s="550"/>
      <c r="C155" s="550"/>
      <c r="D155" s="550"/>
      <c r="E155" s="550"/>
      <c r="F155" s="550"/>
      <c r="G155" s="550"/>
      <c r="H155" s="550"/>
      <c r="I155" s="550"/>
      <c r="J155" s="550"/>
      <c r="K155" s="550"/>
      <c r="L155" s="550"/>
      <c r="M155" s="550"/>
      <c r="N155" s="550"/>
      <c r="O155" s="550"/>
      <c r="P155" s="550"/>
      <c r="Q155" s="550"/>
      <c r="R155" s="550"/>
      <c r="S155" s="550"/>
      <c r="T155" s="550"/>
      <c r="U155" s="550"/>
      <c r="V155" s="550"/>
      <c r="W155" s="550"/>
      <c r="X155" s="550"/>
      <c r="Y155" s="550"/>
      <c r="Z155" s="550"/>
      <c r="AA155" s="550"/>
      <c r="AB155" s="550"/>
      <c r="AC155" s="550"/>
      <c r="AD155" s="550"/>
      <c r="AE155" s="550"/>
      <c r="AF155" s="550"/>
      <c r="AG155" s="550"/>
      <c r="AH155" s="550"/>
      <c r="AI155" s="550"/>
      <c r="AJ155" s="550"/>
      <c r="AK155" s="550"/>
    </row>
    <row r="156" spans="1:37">
      <c r="A156" s="550"/>
      <c r="B156" s="550"/>
      <c r="C156" s="550"/>
      <c r="D156" s="550"/>
      <c r="E156" s="550"/>
      <c r="F156" s="550"/>
      <c r="G156" s="550"/>
      <c r="H156" s="550"/>
      <c r="I156" s="550"/>
      <c r="J156" s="550"/>
      <c r="K156" s="550"/>
      <c r="L156" s="550"/>
      <c r="M156" s="550"/>
      <c r="N156" s="550"/>
      <c r="O156" s="550"/>
      <c r="P156" s="550"/>
      <c r="Q156" s="550"/>
      <c r="R156" s="550"/>
      <c r="S156" s="550"/>
      <c r="T156" s="550"/>
      <c r="U156" s="550"/>
      <c r="V156" s="550"/>
      <c r="W156" s="550"/>
      <c r="X156" s="550"/>
      <c r="Y156" s="550"/>
      <c r="Z156" s="550"/>
      <c r="AA156" s="550"/>
      <c r="AB156" s="550"/>
      <c r="AC156" s="550"/>
      <c r="AD156" s="550"/>
      <c r="AE156" s="550"/>
      <c r="AF156" s="550"/>
      <c r="AG156" s="550"/>
      <c r="AH156" s="550"/>
      <c r="AI156" s="550"/>
      <c r="AJ156" s="550"/>
      <c r="AK156" s="550"/>
    </row>
    <row r="157" spans="1:37">
      <c r="A157" s="550"/>
      <c r="B157" s="550"/>
      <c r="C157" s="550"/>
      <c r="D157" s="550"/>
      <c r="E157" s="550"/>
      <c r="F157" s="550"/>
      <c r="G157" s="550"/>
      <c r="H157" s="550"/>
      <c r="I157" s="550"/>
      <c r="J157" s="550"/>
      <c r="K157" s="550"/>
      <c r="L157" s="550"/>
      <c r="M157" s="550"/>
      <c r="N157" s="550"/>
      <c r="O157" s="550"/>
      <c r="P157" s="550"/>
      <c r="Q157" s="550"/>
      <c r="R157" s="550"/>
      <c r="S157" s="550"/>
      <c r="T157" s="550"/>
      <c r="U157" s="550"/>
      <c r="V157" s="550"/>
      <c r="W157" s="550"/>
      <c r="X157" s="550"/>
      <c r="Y157" s="550"/>
      <c r="Z157" s="550"/>
      <c r="AA157" s="550"/>
      <c r="AB157" s="550"/>
      <c r="AC157" s="550"/>
      <c r="AD157" s="550"/>
      <c r="AE157" s="550"/>
      <c r="AF157" s="550"/>
      <c r="AG157" s="550"/>
      <c r="AH157" s="550"/>
      <c r="AI157" s="550"/>
      <c r="AJ157" s="550"/>
      <c r="AK157" s="550"/>
    </row>
    <row r="158" spans="1:37">
      <c r="A158" s="550"/>
      <c r="B158" s="550"/>
      <c r="C158" s="550"/>
      <c r="D158" s="550"/>
      <c r="E158" s="550"/>
      <c r="F158" s="550"/>
      <c r="G158" s="550"/>
      <c r="H158" s="550"/>
      <c r="I158" s="550"/>
      <c r="J158" s="550"/>
      <c r="K158" s="550"/>
      <c r="L158" s="550"/>
      <c r="M158" s="550"/>
      <c r="N158" s="550"/>
      <c r="O158" s="550"/>
      <c r="P158" s="550"/>
      <c r="Q158" s="550"/>
      <c r="R158" s="550"/>
      <c r="S158" s="550"/>
      <c r="T158" s="550"/>
      <c r="U158" s="550"/>
      <c r="V158" s="550"/>
      <c r="W158" s="550"/>
      <c r="X158" s="550"/>
      <c r="Y158" s="550"/>
      <c r="Z158" s="550"/>
      <c r="AA158" s="550"/>
      <c r="AB158" s="550"/>
      <c r="AC158" s="550"/>
      <c r="AD158" s="550"/>
      <c r="AE158" s="550"/>
      <c r="AF158" s="550"/>
      <c r="AG158" s="550"/>
      <c r="AH158" s="550"/>
      <c r="AI158" s="550"/>
      <c r="AJ158" s="550"/>
      <c r="AK158" s="550"/>
    </row>
    <row r="159" spans="1:37">
      <c r="A159" s="550"/>
      <c r="B159" s="550"/>
      <c r="C159" s="550"/>
      <c r="D159" s="550"/>
      <c r="E159" s="550"/>
      <c r="F159" s="550"/>
      <c r="G159" s="550"/>
      <c r="H159" s="550"/>
      <c r="I159" s="550"/>
      <c r="J159" s="550"/>
      <c r="K159" s="550"/>
      <c r="L159" s="550"/>
      <c r="M159" s="550"/>
      <c r="N159" s="550"/>
      <c r="O159" s="550"/>
      <c r="P159" s="550"/>
      <c r="Q159" s="550"/>
      <c r="R159" s="550"/>
      <c r="S159" s="550"/>
      <c r="T159" s="550"/>
      <c r="U159" s="550"/>
      <c r="V159" s="550"/>
      <c r="W159" s="550"/>
      <c r="X159" s="550"/>
      <c r="Y159" s="550"/>
      <c r="Z159" s="550"/>
      <c r="AA159" s="550"/>
      <c r="AB159" s="550"/>
      <c r="AC159" s="550"/>
      <c r="AD159" s="550"/>
      <c r="AE159" s="550"/>
      <c r="AF159" s="550"/>
      <c r="AG159" s="550"/>
      <c r="AH159" s="550"/>
      <c r="AI159" s="550"/>
      <c r="AJ159" s="550"/>
      <c r="AK159" s="550"/>
    </row>
    <row r="160" spans="1:37">
      <c r="A160" s="550"/>
      <c r="B160" s="550"/>
      <c r="C160" s="550"/>
      <c r="D160" s="550"/>
      <c r="E160" s="550"/>
      <c r="F160" s="550"/>
      <c r="G160" s="550"/>
      <c r="H160" s="550"/>
      <c r="I160" s="550"/>
      <c r="J160" s="550"/>
      <c r="K160" s="550"/>
      <c r="L160" s="550"/>
      <c r="M160" s="550"/>
      <c r="N160" s="550"/>
      <c r="O160" s="550"/>
      <c r="P160" s="550"/>
      <c r="Q160" s="550"/>
      <c r="R160" s="550"/>
      <c r="S160" s="550"/>
      <c r="T160" s="550"/>
      <c r="U160" s="550"/>
      <c r="V160" s="550"/>
      <c r="W160" s="550"/>
      <c r="X160" s="550"/>
      <c r="Y160" s="550"/>
      <c r="Z160" s="550"/>
      <c r="AA160" s="550"/>
      <c r="AB160" s="550"/>
      <c r="AC160" s="550"/>
      <c r="AD160" s="550"/>
      <c r="AE160" s="550"/>
      <c r="AF160" s="550"/>
      <c r="AG160" s="550"/>
      <c r="AH160" s="550"/>
      <c r="AI160" s="550"/>
      <c r="AJ160" s="550"/>
      <c r="AK160" s="550"/>
    </row>
    <row r="161" spans="1:37">
      <c r="A161" s="550"/>
      <c r="B161" s="550"/>
      <c r="C161" s="550"/>
      <c r="D161" s="550"/>
      <c r="E161" s="550"/>
      <c r="F161" s="550"/>
      <c r="G161" s="550"/>
      <c r="H161" s="550"/>
      <c r="I161" s="550"/>
      <c r="J161" s="550"/>
      <c r="K161" s="550"/>
      <c r="L161" s="550"/>
      <c r="M161" s="550"/>
      <c r="N161" s="550"/>
      <c r="O161" s="550"/>
      <c r="P161" s="550"/>
      <c r="Q161" s="550"/>
      <c r="R161" s="550"/>
      <c r="S161" s="550"/>
      <c r="T161" s="550"/>
      <c r="U161" s="550"/>
      <c r="V161" s="550"/>
      <c r="W161" s="550"/>
      <c r="X161" s="550"/>
      <c r="Y161" s="550"/>
      <c r="Z161" s="550"/>
      <c r="AA161" s="550"/>
      <c r="AB161" s="550"/>
      <c r="AC161" s="550"/>
      <c r="AD161" s="550"/>
      <c r="AE161" s="550"/>
      <c r="AF161" s="550"/>
      <c r="AG161" s="550"/>
      <c r="AH161" s="550"/>
      <c r="AI161" s="550"/>
      <c r="AJ161" s="550"/>
      <c r="AK161" s="550"/>
    </row>
    <row r="162" spans="1:37">
      <c r="A162" s="550"/>
      <c r="B162" s="550"/>
      <c r="C162" s="550"/>
      <c r="D162" s="550"/>
      <c r="E162" s="550"/>
      <c r="F162" s="550"/>
      <c r="G162" s="550"/>
      <c r="H162" s="550"/>
      <c r="I162" s="550"/>
      <c r="J162" s="550"/>
      <c r="K162" s="550"/>
      <c r="L162" s="550"/>
      <c r="M162" s="550"/>
      <c r="N162" s="550"/>
      <c r="O162" s="550"/>
      <c r="P162" s="550"/>
      <c r="Q162" s="550"/>
      <c r="R162" s="550"/>
      <c r="S162" s="550"/>
      <c r="T162" s="550"/>
      <c r="U162" s="550"/>
      <c r="V162" s="550"/>
      <c r="W162" s="550"/>
      <c r="X162" s="550"/>
      <c r="Y162" s="550"/>
      <c r="Z162" s="550"/>
      <c r="AA162" s="550"/>
      <c r="AB162" s="550"/>
      <c r="AC162" s="550"/>
      <c r="AD162" s="550"/>
      <c r="AE162" s="550"/>
      <c r="AF162" s="550"/>
      <c r="AG162" s="550"/>
      <c r="AH162" s="550"/>
      <c r="AI162" s="550"/>
      <c r="AJ162" s="550"/>
      <c r="AK162" s="550"/>
    </row>
    <row r="163" spans="1:37">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0"/>
      <c r="AK163" s="550"/>
    </row>
    <row r="164" spans="1:37">
      <c r="A164" s="550"/>
      <c r="B164" s="550"/>
      <c r="C164" s="550"/>
      <c r="D164" s="550"/>
      <c r="E164" s="550"/>
      <c r="F164" s="550"/>
      <c r="G164" s="550"/>
      <c r="H164" s="550"/>
      <c r="I164" s="550"/>
      <c r="J164" s="550"/>
      <c r="K164" s="550"/>
      <c r="L164" s="550"/>
      <c r="M164" s="550"/>
      <c r="N164" s="550"/>
      <c r="O164" s="550"/>
      <c r="P164" s="550"/>
      <c r="Q164" s="550"/>
      <c r="R164" s="550"/>
      <c r="S164" s="550"/>
      <c r="T164" s="550"/>
      <c r="U164" s="550"/>
      <c r="V164" s="550"/>
      <c r="W164" s="550"/>
      <c r="X164" s="550"/>
      <c r="Y164" s="550"/>
      <c r="Z164" s="550"/>
      <c r="AA164" s="550"/>
      <c r="AB164" s="550"/>
      <c r="AC164" s="550"/>
      <c r="AD164" s="550"/>
      <c r="AE164" s="550"/>
      <c r="AF164" s="550"/>
      <c r="AG164" s="550"/>
      <c r="AH164" s="550"/>
      <c r="AI164" s="550"/>
      <c r="AJ164" s="550"/>
      <c r="AK164" s="550"/>
    </row>
    <row r="165" spans="1:37">
      <c r="A165" s="550"/>
      <c r="B165" s="550"/>
      <c r="C165" s="550"/>
      <c r="D165" s="550"/>
      <c r="E165" s="550"/>
      <c r="F165" s="550"/>
      <c r="G165" s="550"/>
      <c r="H165" s="550"/>
      <c r="I165" s="550"/>
      <c r="J165" s="550"/>
      <c r="K165" s="550"/>
      <c r="L165" s="550"/>
      <c r="M165" s="550"/>
      <c r="N165" s="550"/>
      <c r="O165" s="550"/>
      <c r="P165" s="550"/>
      <c r="Q165" s="550"/>
      <c r="R165" s="550"/>
      <c r="S165" s="550"/>
      <c r="T165" s="550"/>
      <c r="U165" s="550"/>
      <c r="V165" s="550"/>
      <c r="W165" s="550"/>
      <c r="X165" s="550"/>
      <c r="Y165" s="550"/>
      <c r="Z165" s="550"/>
      <c r="AA165" s="550"/>
      <c r="AB165" s="550"/>
      <c r="AC165" s="550"/>
      <c r="AD165" s="550"/>
      <c r="AE165" s="550"/>
      <c r="AF165" s="550"/>
      <c r="AG165" s="550"/>
      <c r="AH165" s="550"/>
      <c r="AI165" s="550"/>
      <c r="AJ165" s="550"/>
      <c r="AK165" s="550"/>
    </row>
    <row r="166" spans="1:37">
      <c r="A166" s="550"/>
      <c r="B166" s="550"/>
      <c r="C166" s="550"/>
      <c r="D166" s="550"/>
      <c r="E166" s="550"/>
      <c r="F166" s="550"/>
      <c r="G166" s="550"/>
      <c r="H166" s="550"/>
      <c r="I166" s="550"/>
      <c r="J166" s="550"/>
      <c r="K166" s="550"/>
      <c r="L166" s="550"/>
      <c r="M166" s="550"/>
      <c r="N166" s="550"/>
      <c r="O166" s="550"/>
      <c r="P166" s="550"/>
      <c r="Q166" s="550"/>
      <c r="R166" s="550"/>
      <c r="S166" s="550"/>
      <c r="T166" s="550"/>
      <c r="U166" s="550"/>
      <c r="V166" s="550"/>
      <c r="W166" s="550"/>
      <c r="X166" s="550"/>
      <c r="Y166" s="550"/>
      <c r="Z166" s="550"/>
      <c r="AA166" s="550"/>
      <c r="AB166" s="550"/>
      <c r="AC166" s="550"/>
      <c r="AD166" s="550"/>
      <c r="AE166" s="550"/>
      <c r="AF166" s="550"/>
      <c r="AG166" s="550"/>
      <c r="AH166" s="550"/>
      <c r="AI166" s="550"/>
      <c r="AJ166" s="550"/>
      <c r="AK166" s="550"/>
    </row>
    <row r="167" spans="1:37">
      <c r="A167" s="550"/>
      <c r="B167" s="550"/>
      <c r="C167" s="550"/>
      <c r="D167" s="550"/>
      <c r="E167" s="550"/>
      <c r="F167" s="550"/>
      <c r="G167" s="550"/>
      <c r="H167" s="550"/>
      <c r="I167" s="550"/>
      <c r="J167" s="550"/>
      <c r="K167" s="550"/>
      <c r="L167" s="550"/>
      <c r="M167" s="550"/>
      <c r="N167" s="550"/>
      <c r="O167" s="550"/>
      <c r="P167" s="550"/>
      <c r="Q167" s="550"/>
      <c r="R167" s="550"/>
      <c r="S167" s="550"/>
      <c r="T167" s="550"/>
      <c r="U167" s="550"/>
      <c r="V167" s="550"/>
      <c r="W167" s="550"/>
      <c r="X167" s="550"/>
      <c r="Y167" s="550"/>
      <c r="Z167" s="550"/>
      <c r="AA167" s="550"/>
      <c r="AB167" s="550"/>
      <c r="AC167" s="550"/>
      <c r="AD167" s="550"/>
      <c r="AE167" s="550"/>
      <c r="AF167" s="550"/>
      <c r="AG167" s="550"/>
      <c r="AH167" s="550"/>
      <c r="AI167" s="550"/>
      <c r="AJ167" s="550"/>
      <c r="AK167" s="550"/>
    </row>
    <row r="168" spans="1:37">
      <c r="A168" s="550"/>
      <c r="B168" s="550"/>
      <c r="C168" s="550"/>
      <c r="D168" s="550"/>
      <c r="E168" s="550"/>
      <c r="F168" s="550"/>
      <c r="G168" s="550"/>
      <c r="H168" s="550"/>
      <c r="I168" s="550"/>
      <c r="J168" s="550"/>
      <c r="K168" s="550"/>
      <c r="L168" s="550"/>
      <c r="M168" s="550"/>
      <c r="N168" s="550"/>
      <c r="O168" s="550"/>
      <c r="P168" s="550"/>
      <c r="Q168" s="550"/>
      <c r="R168" s="550"/>
      <c r="S168" s="550"/>
      <c r="T168" s="550"/>
      <c r="U168" s="550"/>
      <c r="V168" s="550"/>
      <c r="W168" s="550"/>
      <c r="X168" s="550"/>
      <c r="Y168" s="550"/>
      <c r="Z168" s="550"/>
      <c r="AA168" s="550"/>
      <c r="AB168" s="550"/>
      <c r="AC168" s="550"/>
      <c r="AD168" s="550"/>
      <c r="AE168" s="550"/>
      <c r="AF168" s="550"/>
      <c r="AG168" s="550"/>
      <c r="AH168" s="550"/>
      <c r="AI168" s="550"/>
      <c r="AJ168" s="550"/>
      <c r="AK168" s="550"/>
    </row>
    <row r="169" spans="1:37">
      <c r="A169" s="550"/>
      <c r="B169" s="550"/>
      <c r="C169" s="550"/>
      <c r="D169" s="550"/>
      <c r="E169" s="550"/>
      <c r="F169" s="550"/>
      <c r="G169" s="550"/>
      <c r="H169" s="550"/>
      <c r="I169" s="550"/>
      <c r="J169" s="550"/>
      <c r="K169" s="550"/>
      <c r="L169" s="550"/>
      <c r="M169" s="550"/>
      <c r="N169" s="550"/>
      <c r="O169" s="550"/>
      <c r="P169" s="550"/>
      <c r="Q169" s="550"/>
      <c r="R169" s="550"/>
      <c r="S169" s="550"/>
      <c r="T169" s="550"/>
      <c r="U169" s="550"/>
      <c r="V169" s="550"/>
      <c r="W169" s="550"/>
      <c r="X169" s="550"/>
      <c r="Y169" s="550"/>
      <c r="Z169" s="550"/>
      <c r="AA169" s="550"/>
      <c r="AB169" s="550"/>
      <c r="AC169" s="550"/>
      <c r="AD169" s="550"/>
      <c r="AE169" s="550"/>
      <c r="AF169" s="550"/>
      <c r="AG169" s="550"/>
      <c r="AH169" s="550"/>
      <c r="AI169" s="550"/>
      <c r="AJ169" s="550"/>
      <c r="AK169" s="550"/>
    </row>
    <row r="170" spans="1:37">
      <c r="A170" s="550"/>
      <c r="B170" s="550"/>
      <c r="C170" s="550"/>
      <c r="D170" s="550"/>
      <c r="E170" s="550"/>
      <c r="F170" s="550"/>
      <c r="G170" s="550"/>
      <c r="H170" s="550"/>
      <c r="I170" s="550"/>
      <c r="J170" s="550"/>
      <c r="K170" s="550"/>
      <c r="L170" s="550"/>
      <c r="M170" s="550"/>
      <c r="N170" s="550"/>
      <c r="O170" s="550"/>
      <c r="P170" s="550"/>
      <c r="Q170" s="550"/>
      <c r="R170" s="550"/>
      <c r="S170" s="550"/>
      <c r="T170" s="550"/>
      <c r="U170" s="550"/>
      <c r="V170" s="550"/>
      <c r="W170" s="550"/>
      <c r="X170" s="550"/>
      <c r="Y170" s="550"/>
      <c r="Z170" s="550"/>
      <c r="AA170" s="550"/>
      <c r="AB170" s="550"/>
      <c r="AC170" s="550"/>
      <c r="AD170" s="550"/>
      <c r="AE170" s="550"/>
      <c r="AF170" s="550"/>
      <c r="AG170" s="550"/>
      <c r="AH170" s="550"/>
      <c r="AI170" s="550"/>
      <c r="AJ170" s="550"/>
      <c r="AK170" s="550"/>
    </row>
    <row r="171" spans="1:37">
      <c r="A171" s="550"/>
      <c r="B171" s="550"/>
      <c r="C171" s="550"/>
      <c r="D171" s="550"/>
      <c r="E171" s="550"/>
      <c r="F171" s="550"/>
      <c r="G171" s="550"/>
      <c r="H171" s="550"/>
      <c r="I171" s="550"/>
      <c r="J171" s="550"/>
      <c r="K171" s="550"/>
      <c r="L171" s="550"/>
      <c r="M171" s="550"/>
      <c r="N171" s="550"/>
      <c r="O171" s="550"/>
      <c r="P171" s="550"/>
      <c r="Q171" s="550"/>
      <c r="R171" s="550"/>
      <c r="S171" s="550"/>
      <c r="T171" s="550"/>
      <c r="U171" s="550"/>
      <c r="V171" s="550"/>
      <c r="W171" s="550"/>
      <c r="X171" s="550"/>
      <c r="Y171" s="550"/>
      <c r="Z171" s="550"/>
      <c r="AA171" s="550"/>
      <c r="AB171" s="550"/>
      <c r="AC171" s="550"/>
      <c r="AD171" s="550"/>
      <c r="AE171" s="550"/>
      <c r="AF171" s="550"/>
      <c r="AG171" s="550"/>
      <c r="AH171" s="550"/>
      <c r="AI171" s="550"/>
      <c r="AJ171" s="550"/>
      <c r="AK171" s="550"/>
    </row>
    <row r="172" spans="1:37">
      <c r="A172" s="550"/>
      <c r="B172" s="550"/>
      <c r="C172" s="550"/>
      <c r="D172" s="550"/>
      <c r="E172" s="550"/>
      <c r="F172" s="550"/>
      <c r="G172" s="550"/>
      <c r="H172" s="550"/>
      <c r="I172" s="550"/>
      <c r="J172" s="550"/>
      <c r="K172" s="550"/>
      <c r="L172" s="550"/>
      <c r="M172" s="550"/>
      <c r="N172" s="550"/>
      <c r="O172" s="550"/>
      <c r="P172" s="550"/>
      <c r="Q172" s="550"/>
      <c r="R172" s="550"/>
      <c r="S172" s="550"/>
      <c r="T172" s="550"/>
      <c r="U172" s="550"/>
      <c r="V172" s="550"/>
      <c r="W172" s="550"/>
      <c r="X172" s="550"/>
      <c r="Y172" s="550"/>
      <c r="Z172" s="550"/>
      <c r="AA172" s="550"/>
      <c r="AB172" s="550"/>
      <c r="AC172" s="550"/>
      <c r="AD172" s="550"/>
      <c r="AE172" s="550"/>
      <c r="AF172" s="550"/>
      <c r="AG172" s="550"/>
      <c r="AH172" s="550"/>
      <c r="AI172" s="550"/>
      <c r="AJ172" s="550"/>
      <c r="AK172" s="550"/>
    </row>
    <row r="173" spans="1:37">
      <c r="A173" s="550"/>
      <c r="B173" s="550"/>
      <c r="C173" s="550"/>
      <c r="D173" s="550"/>
      <c r="E173" s="550"/>
      <c r="F173" s="550"/>
      <c r="G173" s="550"/>
      <c r="H173" s="550"/>
      <c r="I173" s="550"/>
      <c r="J173" s="550"/>
      <c r="K173" s="550"/>
      <c r="L173" s="550"/>
      <c r="M173" s="550"/>
      <c r="N173" s="550"/>
      <c r="O173" s="550"/>
      <c r="P173" s="550"/>
      <c r="Q173" s="550"/>
      <c r="R173" s="550"/>
      <c r="S173" s="550"/>
      <c r="T173" s="550"/>
      <c r="U173" s="550"/>
      <c r="V173" s="550"/>
      <c r="W173" s="550"/>
      <c r="X173" s="550"/>
      <c r="Y173" s="550"/>
      <c r="Z173" s="550"/>
      <c r="AA173" s="550"/>
      <c r="AB173" s="550"/>
      <c r="AC173" s="550"/>
      <c r="AD173" s="550"/>
      <c r="AE173" s="550"/>
      <c r="AF173" s="550"/>
      <c r="AG173" s="550"/>
      <c r="AH173" s="550"/>
      <c r="AI173" s="550"/>
      <c r="AJ173" s="550"/>
      <c r="AK173" s="550"/>
    </row>
    <row r="174" spans="1:37">
      <c r="A174" s="550"/>
      <c r="B174" s="550"/>
      <c r="C174" s="550"/>
      <c r="D174" s="550"/>
      <c r="E174" s="550"/>
      <c r="F174" s="550"/>
      <c r="G174" s="550"/>
      <c r="H174" s="550"/>
      <c r="I174" s="550"/>
      <c r="J174" s="550"/>
      <c r="K174" s="550"/>
      <c r="L174" s="550"/>
      <c r="M174" s="550"/>
      <c r="N174" s="550"/>
      <c r="O174" s="550"/>
      <c r="P174" s="550"/>
      <c r="Q174" s="550"/>
      <c r="R174" s="550"/>
      <c r="S174" s="550"/>
      <c r="T174" s="550"/>
      <c r="U174" s="550"/>
      <c r="V174" s="550"/>
      <c r="W174" s="550"/>
      <c r="X174" s="550"/>
      <c r="Y174" s="550"/>
      <c r="Z174" s="550"/>
      <c r="AA174" s="550"/>
      <c r="AB174" s="550"/>
      <c r="AC174" s="550"/>
      <c r="AD174" s="550"/>
      <c r="AE174" s="550"/>
      <c r="AF174" s="550"/>
      <c r="AG174" s="550"/>
      <c r="AH174" s="550"/>
      <c r="AI174" s="550"/>
      <c r="AJ174" s="550"/>
      <c r="AK174" s="550"/>
    </row>
    <row r="175" spans="1:37">
      <c r="A175" s="550"/>
      <c r="B175" s="550"/>
      <c r="C175" s="550"/>
      <c r="D175" s="550"/>
      <c r="E175" s="550"/>
      <c r="F175" s="550"/>
      <c r="G175" s="550"/>
      <c r="H175" s="550"/>
      <c r="I175" s="550"/>
      <c r="J175" s="550"/>
      <c r="K175" s="550"/>
      <c r="L175" s="550"/>
      <c r="M175" s="550"/>
      <c r="N175" s="550"/>
      <c r="O175" s="550"/>
      <c r="P175" s="550"/>
      <c r="Q175" s="550"/>
      <c r="R175" s="550"/>
      <c r="S175" s="550"/>
      <c r="T175" s="550"/>
      <c r="U175" s="550"/>
      <c r="V175" s="550"/>
      <c r="W175" s="550"/>
      <c r="X175" s="550"/>
      <c r="Y175" s="550"/>
      <c r="Z175" s="550"/>
      <c r="AA175" s="550"/>
      <c r="AB175" s="550"/>
      <c r="AC175" s="550"/>
      <c r="AD175" s="550"/>
      <c r="AE175" s="550"/>
      <c r="AF175" s="550"/>
      <c r="AG175" s="550"/>
      <c r="AH175" s="550"/>
      <c r="AI175" s="550"/>
      <c r="AJ175" s="550"/>
      <c r="AK175" s="550"/>
    </row>
    <row r="176" spans="1:37">
      <c r="A176" s="550"/>
      <c r="B176" s="550"/>
      <c r="C176" s="550"/>
      <c r="D176" s="550"/>
      <c r="E176" s="550"/>
      <c r="F176" s="550"/>
      <c r="G176" s="550"/>
      <c r="H176" s="550"/>
      <c r="I176" s="550"/>
      <c r="J176" s="550"/>
      <c r="K176" s="550"/>
      <c r="L176" s="550"/>
      <c r="M176" s="550"/>
      <c r="N176" s="550"/>
      <c r="O176" s="550"/>
      <c r="P176" s="550"/>
      <c r="Q176" s="550"/>
      <c r="R176" s="550"/>
      <c r="S176" s="550"/>
      <c r="T176" s="550"/>
      <c r="U176" s="550"/>
      <c r="V176" s="550"/>
      <c r="W176" s="550"/>
      <c r="X176" s="550"/>
      <c r="Y176" s="550"/>
      <c r="Z176" s="550"/>
      <c r="AA176" s="550"/>
      <c r="AB176" s="550"/>
      <c r="AC176" s="550"/>
      <c r="AD176" s="550"/>
      <c r="AE176" s="550"/>
      <c r="AF176" s="550"/>
      <c r="AG176" s="550"/>
      <c r="AH176" s="550"/>
      <c r="AI176" s="550"/>
      <c r="AJ176" s="550"/>
      <c r="AK176" s="550"/>
    </row>
    <row r="177" spans="1:37">
      <c r="A177" s="550"/>
      <c r="B177" s="550"/>
      <c r="C177" s="550"/>
      <c r="D177" s="550"/>
      <c r="E177" s="550"/>
      <c r="F177" s="550"/>
      <c r="G177" s="550"/>
      <c r="H177" s="550"/>
      <c r="I177" s="550"/>
      <c r="J177" s="550"/>
      <c r="K177" s="550"/>
      <c r="L177" s="550"/>
      <c r="M177" s="550"/>
      <c r="N177" s="550"/>
      <c r="O177" s="550"/>
      <c r="P177" s="550"/>
      <c r="Q177" s="550"/>
      <c r="R177" s="550"/>
      <c r="S177" s="550"/>
      <c r="T177" s="550"/>
      <c r="U177" s="550"/>
      <c r="V177" s="550"/>
      <c r="W177" s="550"/>
      <c r="X177" s="550"/>
      <c r="Y177" s="550"/>
      <c r="Z177" s="550"/>
      <c r="AA177" s="550"/>
      <c r="AB177" s="550"/>
      <c r="AC177" s="550"/>
      <c r="AD177" s="550"/>
      <c r="AE177" s="550"/>
      <c r="AF177" s="550"/>
      <c r="AG177" s="550"/>
      <c r="AH177" s="550"/>
      <c r="AI177" s="550"/>
      <c r="AJ177" s="550"/>
      <c r="AK177" s="550"/>
    </row>
    <row r="178" spans="1:37">
      <c r="A178" s="550"/>
      <c r="B178" s="550"/>
      <c r="C178" s="550"/>
      <c r="D178" s="550"/>
      <c r="E178" s="550"/>
      <c r="F178" s="550"/>
      <c r="G178" s="550"/>
      <c r="H178" s="550"/>
      <c r="I178" s="550"/>
      <c r="J178" s="550"/>
      <c r="K178" s="550"/>
      <c r="L178" s="550"/>
      <c r="M178" s="550"/>
      <c r="N178" s="550"/>
      <c r="O178" s="550"/>
      <c r="P178" s="550"/>
      <c r="Q178" s="550"/>
      <c r="R178" s="550"/>
      <c r="S178" s="550"/>
      <c r="T178" s="550"/>
      <c r="U178" s="550"/>
      <c r="V178" s="550"/>
      <c r="W178" s="550"/>
      <c r="X178" s="550"/>
      <c r="Y178" s="550"/>
      <c r="Z178" s="550"/>
      <c r="AA178" s="550"/>
      <c r="AB178" s="550"/>
      <c r="AC178" s="550"/>
      <c r="AD178" s="550"/>
      <c r="AE178" s="550"/>
      <c r="AF178" s="550"/>
      <c r="AG178" s="550"/>
      <c r="AH178" s="550"/>
      <c r="AI178" s="550"/>
      <c r="AJ178" s="550"/>
      <c r="AK178" s="550"/>
    </row>
    <row r="179" spans="1:37">
      <c r="A179" s="550"/>
      <c r="B179" s="550"/>
      <c r="C179" s="550"/>
      <c r="D179" s="550"/>
      <c r="E179" s="550"/>
      <c r="F179" s="550"/>
      <c r="G179" s="550"/>
      <c r="H179" s="550"/>
      <c r="I179" s="550"/>
      <c r="J179" s="550"/>
      <c r="K179" s="550"/>
      <c r="L179" s="550"/>
      <c r="M179" s="550"/>
      <c r="N179" s="550"/>
      <c r="O179" s="550"/>
      <c r="P179" s="550"/>
      <c r="Q179" s="550"/>
      <c r="R179" s="550"/>
      <c r="S179" s="550"/>
      <c r="T179" s="550"/>
      <c r="U179" s="550"/>
      <c r="V179" s="550"/>
      <c r="W179" s="550"/>
      <c r="X179" s="550"/>
      <c r="Y179" s="550"/>
      <c r="Z179" s="550"/>
      <c r="AA179" s="550"/>
      <c r="AB179" s="550"/>
      <c r="AC179" s="550"/>
      <c r="AD179" s="550"/>
      <c r="AE179" s="550"/>
      <c r="AF179" s="550"/>
      <c r="AG179" s="550"/>
      <c r="AH179" s="550"/>
      <c r="AI179" s="550"/>
      <c r="AJ179" s="550"/>
      <c r="AK179" s="550"/>
    </row>
    <row r="180" spans="1:37">
      <c r="A180" s="550"/>
      <c r="B180" s="550"/>
      <c r="C180" s="550"/>
      <c r="D180" s="550"/>
      <c r="E180" s="550"/>
      <c r="F180" s="550"/>
      <c r="G180" s="550"/>
      <c r="H180" s="550"/>
      <c r="I180" s="550"/>
      <c r="J180" s="550"/>
      <c r="K180" s="550"/>
      <c r="L180" s="550"/>
      <c r="M180" s="550"/>
      <c r="N180" s="550"/>
      <c r="O180" s="550"/>
      <c r="P180" s="550"/>
      <c r="Q180" s="550"/>
      <c r="R180" s="550"/>
      <c r="S180" s="550"/>
      <c r="T180" s="550"/>
      <c r="U180" s="550"/>
      <c r="V180" s="550"/>
      <c r="W180" s="550"/>
      <c r="X180" s="550"/>
      <c r="Y180" s="550"/>
      <c r="Z180" s="550"/>
      <c r="AA180" s="550"/>
      <c r="AB180" s="550"/>
      <c r="AC180" s="550"/>
      <c r="AD180" s="550"/>
      <c r="AE180" s="550"/>
      <c r="AF180" s="550"/>
      <c r="AG180" s="550"/>
      <c r="AH180" s="550"/>
      <c r="AI180" s="550"/>
      <c r="AJ180" s="550"/>
      <c r="AK180" s="550"/>
    </row>
    <row r="181" spans="1:37">
      <c r="A181" s="550"/>
      <c r="B181" s="550"/>
      <c r="C181" s="550"/>
      <c r="D181" s="550"/>
      <c r="E181" s="550"/>
      <c r="F181" s="550"/>
      <c r="G181" s="550"/>
      <c r="H181" s="550"/>
      <c r="I181" s="550"/>
      <c r="J181" s="550"/>
      <c r="K181" s="550"/>
      <c r="L181" s="550"/>
      <c r="M181" s="550"/>
      <c r="N181" s="550"/>
      <c r="O181" s="550"/>
      <c r="P181" s="550"/>
      <c r="Q181" s="550"/>
      <c r="R181" s="550"/>
      <c r="S181" s="550"/>
      <c r="T181" s="550"/>
      <c r="U181" s="550"/>
      <c r="V181" s="550"/>
      <c r="W181" s="550"/>
      <c r="X181" s="550"/>
      <c r="Y181" s="550"/>
      <c r="Z181" s="550"/>
      <c r="AA181" s="550"/>
      <c r="AB181" s="550"/>
      <c r="AC181" s="550"/>
      <c r="AD181" s="550"/>
      <c r="AE181" s="550"/>
      <c r="AF181" s="550"/>
      <c r="AG181" s="550"/>
      <c r="AH181" s="550"/>
      <c r="AI181" s="550"/>
      <c r="AJ181" s="550"/>
      <c r="AK181" s="550"/>
    </row>
    <row r="182" spans="1:37">
      <c r="A182" s="550"/>
      <c r="B182" s="550"/>
      <c r="C182" s="550"/>
      <c r="D182" s="550"/>
      <c r="E182" s="550"/>
      <c r="F182" s="550"/>
      <c r="G182" s="550"/>
      <c r="H182" s="550"/>
      <c r="I182" s="550"/>
      <c r="J182" s="550"/>
      <c r="K182" s="550"/>
      <c r="L182" s="550"/>
      <c r="M182" s="550"/>
      <c r="N182" s="550"/>
      <c r="O182" s="550"/>
      <c r="P182" s="550"/>
      <c r="Q182" s="550"/>
      <c r="R182" s="550"/>
      <c r="S182" s="550"/>
      <c r="T182" s="550"/>
      <c r="U182" s="550"/>
      <c r="V182" s="550"/>
      <c r="W182" s="550"/>
      <c r="X182" s="550"/>
      <c r="Y182" s="550"/>
      <c r="Z182" s="550"/>
      <c r="AA182" s="550"/>
      <c r="AB182" s="550"/>
      <c r="AC182" s="550"/>
      <c r="AD182" s="550"/>
      <c r="AE182" s="550"/>
      <c r="AF182" s="550"/>
      <c r="AG182" s="550"/>
      <c r="AH182" s="550"/>
      <c r="AI182" s="550"/>
      <c r="AJ182" s="550"/>
      <c r="AK182" s="550"/>
    </row>
    <row r="183" spans="1:37">
      <c r="A183" s="550"/>
      <c r="B183" s="550"/>
      <c r="C183" s="550"/>
      <c r="D183" s="550"/>
      <c r="E183" s="550"/>
      <c r="F183" s="550"/>
      <c r="G183" s="550"/>
      <c r="H183" s="550"/>
      <c r="I183" s="550"/>
      <c r="J183" s="550"/>
      <c r="K183" s="550"/>
      <c r="L183" s="550"/>
      <c r="M183" s="550"/>
      <c r="N183" s="550"/>
      <c r="O183" s="550"/>
      <c r="P183" s="550"/>
      <c r="Q183" s="550"/>
      <c r="R183" s="550"/>
      <c r="S183" s="550"/>
      <c r="T183" s="550"/>
      <c r="U183" s="550"/>
      <c r="V183" s="550"/>
      <c r="W183" s="550"/>
      <c r="X183" s="550"/>
      <c r="Y183" s="550"/>
      <c r="Z183" s="550"/>
      <c r="AA183" s="550"/>
      <c r="AB183" s="550"/>
      <c r="AC183" s="550"/>
      <c r="AD183" s="550"/>
      <c r="AE183" s="550"/>
      <c r="AF183" s="550"/>
      <c r="AG183" s="550"/>
      <c r="AH183" s="550"/>
      <c r="AI183" s="550"/>
      <c r="AJ183" s="550"/>
      <c r="AK183" s="550"/>
    </row>
    <row r="184" spans="1:37">
      <c r="A184" s="550"/>
      <c r="B184" s="550"/>
      <c r="C184" s="550"/>
      <c r="D184" s="550"/>
      <c r="E184" s="550"/>
      <c r="F184" s="550"/>
      <c r="G184" s="550"/>
      <c r="H184" s="550"/>
      <c r="I184" s="550"/>
      <c r="J184" s="550"/>
      <c r="K184" s="550"/>
      <c r="L184" s="550"/>
      <c r="M184" s="550"/>
      <c r="N184" s="550"/>
      <c r="O184" s="550"/>
      <c r="P184" s="550"/>
      <c r="Q184" s="550"/>
      <c r="R184" s="550"/>
      <c r="S184" s="550"/>
      <c r="T184" s="550"/>
      <c r="U184" s="550"/>
      <c r="V184" s="550"/>
      <c r="W184" s="550"/>
      <c r="X184" s="550"/>
      <c r="Y184" s="550"/>
      <c r="Z184" s="550"/>
      <c r="AA184" s="550"/>
      <c r="AB184" s="550"/>
      <c r="AC184" s="550"/>
      <c r="AD184" s="550"/>
      <c r="AE184" s="550"/>
      <c r="AF184" s="550"/>
      <c r="AG184" s="550"/>
      <c r="AH184" s="550"/>
      <c r="AI184" s="550"/>
      <c r="AJ184" s="550"/>
      <c r="AK184" s="550"/>
    </row>
    <row r="185" spans="1:37">
      <c r="A185" s="550"/>
      <c r="B185" s="550"/>
      <c r="C185" s="550"/>
      <c r="D185" s="550"/>
      <c r="E185" s="550"/>
      <c r="F185" s="550"/>
      <c r="G185" s="550"/>
      <c r="H185" s="550"/>
      <c r="I185" s="550"/>
      <c r="J185" s="550"/>
      <c r="K185" s="550"/>
      <c r="L185" s="550"/>
      <c r="M185" s="550"/>
      <c r="N185" s="550"/>
      <c r="O185" s="550"/>
      <c r="P185" s="550"/>
      <c r="Q185" s="550"/>
      <c r="R185" s="550"/>
      <c r="S185" s="550"/>
      <c r="T185" s="550"/>
      <c r="U185" s="550"/>
      <c r="V185" s="550"/>
      <c r="W185" s="550"/>
      <c r="X185" s="550"/>
      <c r="Y185" s="550"/>
      <c r="Z185" s="550"/>
      <c r="AA185" s="550"/>
      <c r="AB185" s="550"/>
      <c r="AC185" s="550"/>
      <c r="AD185" s="550"/>
      <c r="AE185" s="550"/>
      <c r="AF185" s="550"/>
      <c r="AG185" s="550"/>
      <c r="AH185" s="550"/>
      <c r="AI185" s="550"/>
      <c r="AJ185" s="550"/>
      <c r="AK185" s="550"/>
    </row>
    <row r="186" spans="1:37">
      <c r="A186" s="550"/>
      <c r="B186" s="550"/>
      <c r="C186" s="550"/>
      <c r="D186" s="550"/>
      <c r="E186" s="550"/>
      <c r="F186" s="550"/>
      <c r="G186" s="550"/>
      <c r="H186" s="550"/>
      <c r="I186" s="550"/>
      <c r="J186" s="550"/>
      <c r="K186" s="550"/>
      <c r="L186" s="550"/>
      <c r="M186" s="550"/>
      <c r="N186" s="550"/>
      <c r="O186" s="550"/>
      <c r="P186" s="550"/>
      <c r="Q186" s="550"/>
      <c r="R186" s="550"/>
      <c r="S186" s="550"/>
      <c r="T186" s="550"/>
      <c r="U186" s="550"/>
      <c r="V186" s="550"/>
      <c r="W186" s="550"/>
      <c r="X186" s="550"/>
      <c r="Y186" s="550"/>
      <c r="Z186" s="550"/>
      <c r="AA186" s="550"/>
      <c r="AB186" s="550"/>
      <c r="AC186" s="550"/>
      <c r="AD186" s="550"/>
      <c r="AE186" s="550"/>
      <c r="AF186" s="550"/>
      <c r="AG186" s="550"/>
      <c r="AH186" s="550"/>
      <c r="AI186" s="550"/>
      <c r="AJ186" s="550"/>
      <c r="AK186" s="550"/>
    </row>
    <row r="187" spans="1:37">
      <c r="A187" s="550"/>
      <c r="B187" s="550"/>
      <c r="C187" s="550"/>
      <c r="D187" s="550"/>
      <c r="E187" s="550"/>
      <c r="F187" s="550"/>
      <c r="G187" s="550"/>
      <c r="H187" s="550"/>
      <c r="I187" s="550"/>
      <c r="J187" s="550"/>
      <c r="K187" s="550"/>
      <c r="L187" s="550"/>
      <c r="M187" s="550"/>
      <c r="N187" s="550"/>
      <c r="O187" s="550"/>
      <c r="P187" s="550"/>
      <c r="Q187" s="550"/>
      <c r="R187" s="550"/>
      <c r="S187" s="550"/>
      <c r="T187" s="550"/>
      <c r="U187" s="550"/>
      <c r="V187" s="550"/>
      <c r="W187" s="550"/>
      <c r="X187" s="550"/>
      <c r="Y187" s="550"/>
      <c r="Z187" s="550"/>
      <c r="AA187" s="550"/>
      <c r="AB187" s="550"/>
      <c r="AC187" s="550"/>
      <c r="AD187" s="550"/>
      <c r="AE187" s="550"/>
      <c r="AF187" s="550"/>
      <c r="AG187" s="550"/>
      <c r="AH187" s="550"/>
      <c r="AI187" s="550"/>
      <c r="AJ187" s="550"/>
      <c r="AK187" s="550"/>
    </row>
    <row r="188" spans="1:37">
      <c r="A188" s="550"/>
      <c r="B188" s="550"/>
      <c r="C188" s="550"/>
      <c r="D188" s="550"/>
      <c r="E188" s="550"/>
      <c r="F188" s="550"/>
      <c r="G188" s="550"/>
      <c r="H188" s="550"/>
      <c r="I188" s="550"/>
      <c r="J188" s="550"/>
      <c r="K188" s="550"/>
      <c r="L188" s="550"/>
      <c r="M188" s="550"/>
      <c r="N188" s="550"/>
      <c r="O188" s="550"/>
      <c r="P188" s="550"/>
      <c r="Q188" s="550"/>
      <c r="R188" s="550"/>
      <c r="S188" s="550"/>
      <c r="T188" s="550"/>
      <c r="U188" s="550"/>
      <c r="V188" s="550"/>
      <c r="W188" s="550"/>
      <c r="X188" s="550"/>
      <c r="Y188" s="550"/>
      <c r="Z188" s="550"/>
      <c r="AA188" s="550"/>
      <c r="AB188" s="550"/>
      <c r="AC188" s="550"/>
      <c r="AD188" s="550"/>
      <c r="AE188" s="550"/>
      <c r="AF188" s="550"/>
      <c r="AG188" s="550"/>
      <c r="AH188" s="550"/>
      <c r="AI188" s="550"/>
      <c r="AJ188" s="550"/>
      <c r="AK188" s="550"/>
    </row>
    <row r="189" spans="1:37">
      <c r="A189" s="550"/>
      <c r="B189" s="550"/>
      <c r="C189" s="550"/>
      <c r="D189" s="550"/>
      <c r="E189" s="550"/>
      <c r="F189" s="550"/>
      <c r="G189" s="550"/>
      <c r="H189" s="550"/>
      <c r="I189" s="550"/>
      <c r="J189" s="550"/>
      <c r="K189" s="550"/>
      <c r="L189" s="550"/>
      <c r="M189" s="550"/>
      <c r="N189" s="550"/>
      <c r="O189" s="550"/>
      <c r="P189" s="550"/>
      <c r="Q189" s="550"/>
      <c r="R189" s="550"/>
      <c r="S189" s="550"/>
      <c r="T189" s="550"/>
      <c r="U189" s="550"/>
      <c r="V189" s="550"/>
      <c r="W189" s="550"/>
      <c r="X189" s="550"/>
      <c r="Y189" s="550"/>
      <c r="Z189" s="550"/>
      <c r="AA189" s="550"/>
      <c r="AB189" s="550"/>
      <c r="AC189" s="550"/>
      <c r="AD189" s="550"/>
      <c r="AE189" s="550"/>
      <c r="AF189" s="550"/>
      <c r="AG189" s="550"/>
      <c r="AH189" s="550"/>
      <c r="AI189" s="550"/>
      <c r="AJ189" s="550"/>
      <c r="AK189" s="550"/>
    </row>
    <row r="190" spans="1:37">
      <c r="A190" s="550"/>
      <c r="B190" s="550"/>
      <c r="C190" s="550"/>
      <c r="D190" s="550"/>
      <c r="E190" s="550"/>
      <c r="F190" s="550"/>
      <c r="G190" s="550"/>
      <c r="H190" s="550"/>
      <c r="I190" s="550"/>
      <c r="J190" s="550"/>
      <c r="K190" s="550"/>
      <c r="L190" s="550"/>
      <c r="M190" s="550"/>
      <c r="N190" s="550"/>
      <c r="O190" s="550"/>
      <c r="P190" s="550"/>
      <c r="Q190" s="550"/>
      <c r="R190" s="550"/>
      <c r="S190" s="550"/>
      <c r="T190" s="550"/>
      <c r="U190" s="550"/>
      <c r="V190" s="550"/>
      <c r="W190" s="550"/>
      <c r="X190" s="550"/>
      <c r="Y190" s="550"/>
      <c r="Z190" s="550"/>
      <c r="AA190" s="550"/>
      <c r="AB190" s="550"/>
      <c r="AC190" s="550"/>
      <c r="AD190" s="550"/>
      <c r="AE190" s="550"/>
      <c r="AF190" s="550"/>
      <c r="AG190" s="550"/>
      <c r="AH190" s="550"/>
      <c r="AI190" s="550"/>
      <c r="AJ190" s="550"/>
      <c r="AK190" s="550"/>
    </row>
    <row r="191" spans="1:37">
      <c r="A191" s="550"/>
      <c r="B191" s="550"/>
      <c r="C191" s="550"/>
      <c r="D191" s="550"/>
      <c r="E191" s="550"/>
      <c r="F191" s="550"/>
      <c r="G191" s="550"/>
      <c r="H191" s="550"/>
      <c r="I191" s="550"/>
      <c r="J191" s="550"/>
      <c r="K191" s="550"/>
      <c r="L191" s="550"/>
      <c r="M191" s="550"/>
      <c r="N191" s="550"/>
      <c r="O191" s="550"/>
      <c r="P191" s="550"/>
      <c r="Q191" s="550"/>
      <c r="R191" s="550"/>
      <c r="S191" s="550"/>
      <c r="T191" s="550"/>
      <c r="U191" s="550"/>
      <c r="V191" s="550"/>
      <c r="W191" s="550"/>
      <c r="X191" s="550"/>
      <c r="Y191" s="550"/>
      <c r="Z191" s="550"/>
      <c r="AA191" s="550"/>
      <c r="AB191" s="550"/>
      <c r="AC191" s="550"/>
      <c r="AD191" s="550"/>
      <c r="AE191" s="550"/>
      <c r="AF191" s="550"/>
      <c r="AG191" s="550"/>
      <c r="AH191" s="550"/>
      <c r="AI191" s="550"/>
      <c r="AJ191" s="550"/>
      <c r="AK191" s="550"/>
    </row>
    <row r="192" spans="1:37">
      <c r="A192" s="550"/>
      <c r="B192" s="550"/>
      <c r="C192" s="550"/>
      <c r="D192" s="550"/>
      <c r="E192" s="550"/>
      <c r="F192" s="550"/>
      <c r="G192" s="550"/>
      <c r="H192" s="550"/>
      <c r="I192" s="550"/>
      <c r="J192" s="550"/>
      <c r="K192" s="550"/>
      <c r="L192" s="550"/>
      <c r="M192" s="550"/>
      <c r="N192" s="550"/>
      <c r="O192" s="550"/>
      <c r="P192" s="550"/>
      <c r="Q192" s="550"/>
      <c r="R192" s="550"/>
      <c r="S192" s="550"/>
      <c r="T192" s="550"/>
      <c r="U192" s="550"/>
      <c r="V192" s="550"/>
      <c r="W192" s="550"/>
      <c r="X192" s="550"/>
      <c r="Y192" s="550"/>
      <c r="Z192" s="550"/>
      <c r="AA192" s="550"/>
      <c r="AB192" s="550"/>
      <c r="AC192" s="550"/>
      <c r="AD192" s="550"/>
      <c r="AE192" s="550"/>
      <c r="AF192" s="550"/>
      <c r="AG192" s="550"/>
      <c r="AH192" s="550"/>
      <c r="AI192" s="550"/>
      <c r="AJ192" s="550"/>
      <c r="AK192" s="550"/>
    </row>
    <row r="193" spans="1:37">
      <c r="A193" s="550"/>
      <c r="B193" s="550"/>
      <c r="C193" s="550"/>
      <c r="D193" s="550"/>
      <c r="E193" s="550"/>
      <c r="F193" s="550"/>
      <c r="G193" s="550"/>
      <c r="H193" s="550"/>
      <c r="I193" s="550"/>
      <c r="J193" s="550"/>
      <c r="K193" s="550"/>
      <c r="L193" s="550"/>
      <c r="M193" s="550"/>
      <c r="N193" s="550"/>
      <c r="O193" s="550"/>
      <c r="P193" s="550"/>
      <c r="Q193" s="550"/>
      <c r="R193" s="550"/>
      <c r="S193" s="550"/>
      <c r="T193" s="550"/>
      <c r="U193" s="550"/>
      <c r="V193" s="550"/>
      <c r="W193" s="550"/>
      <c r="X193" s="550"/>
      <c r="Y193" s="550"/>
      <c r="Z193" s="550"/>
      <c r="AA193" s="550"/>
      <c r="AB193" s="550"/>
      <c r="AC193" s="550"/>
      <c r="AD193" s="550"/>
      <c r="AE193" s="550"/>
      <c r="AF193" s="550"/>
      <c r="AG193" s="550"/>
      <c r="AH193" s="550"/>
      <c r="AI193" s="550"/>
      <c r="AJ193" s="550"/>
      <c r="AK193" s="550"/>
    </row>
    <row r="194" spans="1:37">
      <c r="A194" s="550"/>
      <c r="B194" s="550"/>
      <c r="C194" s="550"/>
      <c r="D194" s="550"/>
      <c r="E194" s="550"/>
      <c r="F194" s="550"/>
      <c r="G194" s="550"/>
      <c r="H194" s="550"/>
      <c r="I194" s="550"/>
      <c r="J194" s="550"/>
      <c r="K194" s="550"/>
      <c r="L194" s="550"/>
      <c r="M194" s="550"/>
      <c r="N194" s="550"/>
      <c r="O194" s="550"/>
      <c r="P194" s="550"/>
      <c r="Q194" s="550"/>
      <c r="R194" s="550"/>
      <c r="S194" s="550"/>
      <c r="T194" s="550"/>
      <c r="U194" s="550"/>
      <c r="V194" s="550"/>
      <c r="W194" s="550"/>
      <c r="X194" s="550"/>
      <c r="Y194" s="550"/>
      <c r="Z194" s="550"/>
      <c r="AA194" s="550"/>
      <c r="AB194" s="550"/>
      <c r="AC194" s="550"/>
      <c r="AD194" s="550"/>
      <c r="AE194" s="550"/>
      <c r="AF194" s="550"/>
      <c r="AG194" s="550"/>
      <c r="AH194" s="550"/>
      <c r="AI194" s="550"/>
      <c r="AJ194" s="550"/>
      <c r="AK194" s="550"/>
    </row>
    <row r="195" spans="1:37">
      <c r="A195" s="550"/>
      <c r="B195" s="550"/>
      <c r="C195" s="550"/>
      <c r="D195" s="550"/>
      <c r="E195" s="550"/>
      <c r="F195" s="550"/>
      <c r="G195" s="550"/>
      <c r="H195" s="550"/>
      <c r="I195" s="550"/>
      <c r="J195" s="550"/>
      <c r="K195" s="550"/>
      <c r="L195" s="550"/>
      <c r="M195" s="550"/>
      <c r="N195" s="550"/>
      <c r="O195" s="550"/>
      <c r="P195" s="550"/>
      <c r="Q195" s="550"/>
      <c r="R195" s="550"/>
      <c r="S195" s="550"/>
      <c r="T195" s="550"/>
      <c r="U195" s="550"/>
      <c r="V195" s="550"/>
      <c r="W195" s="550"/>
      <c r="X195" s="550"/>
      <c r="Y195" s="550"/>
      <c r="Z195" s="550"/>
      <c r="AA195" s="550"/>
      <c r="AB195" s="550"/>
      <c r="AC195" s="550"/>
      <c r="AD195" s="550"/>
      <c r="AE195" s="550"/>
      <c r="AF195" s="550"/>
      <c r="AG195" s="550"/>
      <c r="AH195" s="550"/>
      <c r="AI195" s="550"/>
      <c r="AJ195" s="550"/>
      <c r="AK195" s="550"/>
    </row>
    <row r="196" spans="1:37">
      <c r="A196" s="550"/>
      <c r="B196" s="550"/>
      <c r="C196" s="550"/>
      <c r="D196" s="550"/>
      <c r="E196" s="550"/>
      <c r="F196" s="550"/>
      <c r="G196" s="550"/>
      <c r="H196" s="550"/>
      <c r="I196" s="550"/>
      <c r="J196" s="550"/>
      <c r="K196" s="550"/>
      <c r="L196" s="550"/>
      <c r="M196" s="550"/>
      <c r="N196" s="550"/>
      <c r="O196" s="550"/>
      <c r="P196" s="550"/>
      <c r="Q196" s="550"/>
      <c r="R196" s="550"/>
      <c r="S196" s="550"/>
      <c r="T196" s="550"/>
      <c r="U196" s="550"/>
      <c r="V196" s="550"/>
      <c r="W196" s="550"/>
      <c r="X196" s="550"/>
      <c r="Y196" s="550"/>
      <c r="Z196" s="550"/>
      <c r="AA196" s="550"/>
      <c r="AB196" s="550"/>
      <c r="AC196" s="550"/>
      <c r="AD196" s="550"/>
      <c r="AE196" s="550"/>
      <c r="AF196" s="550"/>
      <c r="AG196" s="550"/>
      <c r="AH196" s="550"/>
      <c r="AI196" s="550"/>
      <c r="AJ196" s="550"/>
      <c r="AK196" s="550"/>
    </row>
    <row r="197" spans="1:37">
      <c r="A197" s="550"/>
      <c r="B197" s="550"/>
      <c r="C197" s="550"/>
      <c r="D197" s="550"/>
      <c r="E197" s="550"/>
      <c r="F197" s="550"/>
      <c r="G197" s="550"/>
      <c r="H197" s="550"/>
      <c r="I197" s="550"/>
      <c r="J197" s="550"/>
      <c r="K197" s="550"/>
      <c r="L197" s="550"/>
      <c r="M197" s="550"/>
      <c r="N197" s="550"/>
      <c r="O197" s="550"/>
      <c r="P197" s="550"/>
      <c r="Q197" s="550"/>
      <c r="R197" s="550"/>
      <c r="S197" s="550"/>
      <c r="T197" s="550"/>
      <c r="U197" s="550"/>
      <c r="V197" s="550"/>
      <c r="W197" s="550"/>
      <c r="X197" s="550"/>
      <c r="Y197" s="550"/>
      <c r="Z197" s="550"/>
      <c r="AA197" s="550"/>
      <c r="AB197" s="550"/>
      <c r="AC197" s="550"/>
      <c r="AD197" s="550"/>
      <c r="AE197" s="550"/>
      <c r="AF197" s="550"/>
      <c r="AG197" s="550"/>
      <c r="AH197" s="550"/>
      <c r="AI197" s="550"/>
      <c r="AJ197" s="550"/>
      <c r="AK197" s="550"/>
    </row>
    <row r="198" spans="1:37">
      <c r="A198" s="550"/>
      <c r="B198" s="550"/>
      <c r="C198" s="550"/>
      <c r="D198" s="550"/>
      <c r="E198" s="550"/>
      <c r="F198" s="550"/>
      <c r="G198" s="550"/>
      <c r="H198" s="550"/>
      <c r="I198" s="550"/>
      <c r="J198" s="550"/>
      <c r="K198" s="550"/>
      <c r="L198" s="550"/>
      <c r="M198" s="550"/>
      <c r="N198" s="550"/>
      <c r="O198" s="550"/>
      <c r="P198" s="550"/>
      <c r="Q198" s="550"/>
      <c r="R198" s="550"/>
      <c r="S198" s="550"/>
      <c r="T198" s="550"/>
      <c r="U198" s="550"/>
      <c r="V198" s="550"/>
      <c r="W198" s="550"/>
      <c r="X198" s="550"/>
      <c r="Y198" s="550"/>
      <c r="Z198" s="550"/>
      <c r="AA198" s="550"/>
      <c r="AB198" s="550"/>
      <c r="AC198" s="550"/>
      <c r="AD198" s="550"/>
      <c r="AE198" s="550"/>
      <c r="AF198" s="550"/>
      <c r="AG198" s="550"/>
      <c r="AH198" s="550"/>
      <c r="AI198" s="550"/>
      <c r="AJ198" s="550"/>
      <c r="AK198" s="550"/>
    </row>
    <row r="199" spans="1:37">
      <c r="A199" s="550"/>
      <c r="B199" s="550"/>
      <c r="C199" s="550"/>
      <c r="D199" s="550"/>
      <c r="E199" s="550"/>
      <c r="F199" s="550"/>
      <c r="G199" s="550"/>
      <c r="H199" s="550"/>
      <c r="I199" s="550"/>
      <c r="J199" s="550"/>
      <c r="K199" s="550"/>
      <c r="L199" s="550"/>
      <c r="M199" s="550"/>
      <c r="N199" s="550"/>
      <c r="O199" s="550"/>
      <c r="P199" s="550"/>
      <c r="Q199" s="550"/>
      <c r="R199" s="550"/>
      <c r="S199" s="550"/>
      <c r="T199" s="550"/>
      <c r="U199" s="550"/>
      <c r="V199" s="550"/>
      <c r="W199" s="550"/>
      <c r="X199" s="550"/>
      <c r="Y199" s="550"/>
      <c r="Z199" s="550"/>
      <c r="AA199" s="550"/>
      <c r="AB199" s="550"/>
      <c r="AC199" s="550"/>
      <c r="AD199" s="550"/>
      <c r="AE199" s="550"/>
      <c r="AF199" s="550"/>
      <c r="AG199" s="550"/>
      <c r="AH199" s="550"/>
      <c r="AI199" s="550"/>
      <c r="AJ199" s="550"/>
      <c r="AK199" s="550"/>
    </row>
    <row r="200" spans="1:37">
      <c r="A200" s="550"/>
      <c r="B200" s="550"/>
      <c r="C200" s="550"/>
      <c r="D200" s="550"/>
      <c r="E200" s="550"/>
      <c r="F200" s="550"/>
      <c r="G200" s="550"/>
      <c r="H200" s="550"/>
      <c r="I200" s="550"/>
      <c r="J200" s="550"/>
      <c r="K200" s="550"/>
      <c r="L200" s="550"/>
      <c r="M200" s="550"/>
      <c r="N200" s="550"/>
      <c r="O200" s="550"/>
      <c r="P200" s="550"/>
      <c r="Q200" s="550"/>
      <c r="R200" s="550"/>
      <c r="S200" s="550"/>
      <c r="T200" s="550"/>
      <c r="U200" s="550"/>
      <c r="V200" s="550"/>
      <c r="W200" s="550"/>
      <c r="X200" s="550"/>
      <c r="Y200" s="550"/>
      <c r="Z200" s="550"/>
      <c r="AA200" s="550"/>
      <c r="AB200" s="550"/>
      <c r="AC200" s="550"/>
      <c r="AD200" s="550"/>
      <c r="AE200" s="550"/>
      <c r="AF200" s="550"/>
      <c r="AG200" s="550"/>
      <c r="AH200" s="550"/>
      <c r="AI200" s="550"/>
      <c r="AJ200" s="550"/>
      <c r="AK200" s="550"/>
    </row>
    <row r="201" spans="1:37">
      <c r="A201" s="550"/>
      <c r="B201" s="550"/>
      <c r="C201" s="550"/>
      <c r="D201" s="550"/>
      <c r="E201" s="550"/>
      <c r="F201" s="550"/>
      <c r="G201" s="550"/>
      <c r="H201" s="550"/>
      <c r="I201" s="550"/>
      <c r="J201" s="550"/>
      <c r="K201" s="550"/>
      <c r="L201" s="550"/>
      <c r="M201" s="550"/>
      <c r="N201" s="550"/>
      <c r="O201" s="550"/>
      <c r="P201" s="550"/>
      <c r="Q201" s="550"/>
      <c r="R201" s="550"/>
      <c r="S201" s="550"/>
      <c r="T201" s="550"/>
      <c r="U201" s="550"/>
      <c r="V201" s="550"/>
      <c r="W201" s="550"/>
      <c r="X201" s="550"/>
      <c r="Y201" s="550"/>
      <c r="Z201" s="550"/>
      <c r="AA201" s="550"/>
      <c r="AB201" s="550"/>
      <c r="AC201" s="550"/>
      <c r="AD201" s="550"/>
      <c r="AE201" s="550"/>
      <c r="AF201" s="550"/>
      <c r="AG201" s="550"/>
      <c r="AH201" s="550"/>
      <c r="AI201" s="550"/>
      <c r="AJ201" s="550"/>
      <c r="AK201" s="550"/>
    </row>
    <row r="202" spans="1:37">
      <c r="A202" s="550"/>
      <c r="B202" s="550"/>
      <c r="C202" s="550"/>
      <c r="D202" s="550"/>
      <c r="E202" s="550"/>
      <c r="F202" s="550"/>
      <c r="G202" s="550"/>
      <c r="H202" s="550"/>
      <c r="I202" s="550"/>
      <c r="J202" s="550"/>
      <c r="K202" s="550"/>
      <c r="L202" s="550"/>
      <c r="M202" s="550"/>
      <c r="N202" s="550"/>
      <c r="O202" s="550"/>
      <c r="P202" s="550"/>
      <c r="Q202" s="550"/>
      <c r="R202" s="550"/>
      <c r="S202" s="550"/>
      <c r="T202" s="550"/>
      <c r="U202" s="550"/>
      <c r="V202" s="550"/>
      <c r="W202" s="550"/>
      <c r="X202" s="550"/>
      <c r="Y202" s="550"/>
      <c r="Z202" s="550"/>
      <c r="AA202" s="550"/>
      <c r="AB202" s="550"/>
      <c r="AC202" s="550"/>
      <c r="AD202" s="550"/>
      <c r="AE202" s="550"/>
      <c r="AF202" s="550"/>
      <c r="AG202" s="550"/>
      <c r="AH202" s="550"/>
      <c r="AI202" s="550"/>
      <c r="AJ202" s="550"/>
      <c r="AK202" s="550"/>
    </row>
    <row r="203" spans="1:37">
      <c r="A203" s="550"/>
      <c r="B203" s="550"/>
      <c r="C203" s="550"/>
      <c r="D203" s="550"/>
      <c r="E203" s="550"/>
      <c r="F203" s="550"/>
      <c r="G203" s="550"/>
      <c r="H203" s="550"/>
      <c r="I203" s="550"/>
      <c r="J203" s="550"/>
      <c r="K203" s="550"/>
      <c r="L203" s="550"/>
      <c r="M203" s="550"/>
      <c r="N203" s="550"/>
      <c r="O203" s="550"/>
      <c r="P203" s="550"/>
      <c r="Q203" s="550"/>
      <c r="R203" s="550"/>
      <c r="S203" s="550"/>
      <c r="T203" s="550"/>
      <c r="U203" s="550"/>
      <c r="V203" s="550"/>
      <c r="W203" s="550"/>
      <c r="X203" s="550"/>
      <c r="Y203" s="550"/>
      <c r="Z203" s="550"/>
      <c r="AA203" s="550"/>
      <c r="AB203" s="550"/>
      <c r="AC203" s="550"/>
      <c r="AD203" s="550"/>
      <c r="AE203" s="550"/>
      <c r="AF203" s="550"/>
      <c r="AG203" s="550"/>
      <c r="AH203" s="550"/>
      <c r="AI203" s="550"/>
      <c r="AJ203" s="550"/>
      <c r="AK203" s="550"/>
    </row>
    <row r="204" spans="1:37">
      <c r="A204" s="550"/>
      <c r="B204" s="550"/>
      <c r="C204" s="550"/>
      <c r="D204" s="550"/>
      <c r="E204" s="550"/>
      <c r="F204" s="550"/>
      <c r="G204" s="550"/>
      <c r="H204" s="550"/>
      <c r="I204" s="550"/>
      <c r="J204" s="550"/>
      <c r="K204" s="550"/>
      <c r="L204" s="550"/>
      <c r="M204" s="550"/>
      <c r="N204" s="550"/>
      <c r="O204" s="550"/>
      <c r="P204" s="550"/>
      <c r="Q204" s="550"/>
      <c r="R204" s="550"/>
      <c r="S204" s="550"/>
      <c r="T204" s="550"/>
      <c r="U204" s="550"/>
      <c r="V204" s="550"/>
      <c r="W204" s="550"/>
      <c r="X204" s="550"/>
      <c r="Y204" s="550"/>
      <c r="Z204" s="550"/>
      <c r="AA204" s="550"/>
      <c r="AB204" s="550"/>
      <c r="AC204" s="550"/>
      <c r="AD204" s="550"/>
      <c r="AE204" s="550"/>
      <c r="AF204" s="550"/>
      <c r="AG204" s="550"/>
      <c r="AH204" s="550"/>
      <c r="AI204" s="550"/>
      <c r="AJ204" s="550"/>
      <c r="AK204" s="550"/>
    </row>
    <row r="205" spans="1:37">
      <c r="A205" s="550"/>
      <c r="B205" s="550"/>
      <c r="C205" s="550"/>
      <c r="D205" s="550"/>
      <c r="E205" s="550"/>
      <c r="F205" s="550"/>
      <c r="G205" s="550"/>
      <c r="H205" s="550"/>
      <c r="I205" s="550"/>
      <c r="J205" s="550"/>
      <c r="K205" s="550"/>
      <c r="L205" s="550"/>
      <c r="M205" s="550"/>
      <c r="N205" s="550"/>
      <c r="O205" s="550"/>
      <c r="P205" s="550"/>
      <c r="Q205" s="550"/>
      <c r="R205" s="550"/>
      <c r="S205" s="550"/>
      <c r="T205" s="550"/>
      <c r="U205" s="550"/>
      <c r="V205" s="550"/>
      <c r="W205" s="550"/>
      <c r="X205" s="550"/>
      <c r="Y205" s="550"/>
      <c r="Z205" s="550"/>
      <c r="AA205" s="550"/>
      <c r="AB205" s="550"/>
      <c r="AC205" s="550"/>
      <c r="AD205" s="550"/>
      <c r="AE205" s="550"/>
      <c r="AF205" s="550"/>
      <c r="AG205" s="550"/>
      <c r="AH205" s="550"/>
      <c r="AI205" s="550"/>
      <c r="AJ205" s="550"/>
      <c r="AK205" s="550"/>
    </row>
    <row r="206" spans="1:37">
      <c r="A206" s="550"/>
      <c r="B206" s="550"/>
      <c r="C206" s="550"/>
      <c r="D206" s="550"/>
      <c r="E206" s="550"/>
      <c r="F206" s="550"/>
      <c r="G206" s="550"/>
      <c r="H206" s="550"/>
      <c r="I206" s="550"/>
      <c r="J206" s="550"/>
      <c r="K206" s="550"/>
      <c r="L206" s="550"/>
      <c r="M206" s="550"/>
      <c r="N206" s="550"/>
      <c r="O206" s="550"/>
      <c r="P206" s="550"/>
      <c r="Q206" s="550"/>
      <c r="R206" s="550"/>
      <c r="S206" s="550"/>
      <c r="T206" s="550"/>
      <c r="U206" s="550"/>
      <c r="V206" s="550"/>
      <c r="W206" s="550"/>
      <c r="X206" s="550"/>
      <c r="Y206" s="550"/>
      <c r="Z206" s="550"/>
      <c r="AA206" s="550"/>
      <c r="AB206" s="550"/>
      <c r="AC206" s="550"/>
      <c r="AD206" s="550"/>
      <c r="AE206" s="550"/>
      <c r="AF206" s="550"/>
      <c r="AG206" s="550"/>
      <c r="AH206" s="550"/>
      <c r="AI206" s="550"/>
      <c r="AJ206" s="550"/>
      <c r="AK206" s="550"/>
    </row>
    <row r="207" spans="1:37">
      <c r="B207" s="550"/>
      <c r="C207" s="550"/>
      <c r="D207" s="550"/>
      <c r="E207" s="550"/>
      <c r="F207" s="550"/>
      <c r="G207" s="550"/>
      <c r="H207" s="550"/>
      <c r="I207" s="550"/>
      <c r="J207" s="550"/>
      <c r="K207" s="550"/>
      <c r="L207" s="550"/>
    </row>
    <row r="208" spans="1:37">
      <c r="B208" s="550"/>
      <c r="C208" s="550"/>
      <c r="D208" s="550"/>
      <c r="E208" s="550"/>
      <c r="F208" s="550"/>
      <c r="G208" s="550"/>
      <c r="H208" s="550"/>
      <c r="I208" s="550"/>
      <c r="J208" s="550"/>
      <c r="K208" s="550"/>
      <c r="L208" s="550"/>
    </row>
    <row r="209" spans="2:12">
      <c r="B209" s="550"/>
      <c r="C209" s="550"/>
      <c r="D209" s="550"/>
      <c r="E209" s="550"/>
      <c r="F209" s="550"/>
      <c r="G209" s="550"/>
      <c r="H209" s="550"/>
      <c r="I209" s="550"/>
      <c r="J209" s="550"/>
      <c r="K209" s="550"/>
      <c r="L209" s="550"/>
    </row>
    <row r="210" spans="2:12">
      <c r="B210" s="550"/>
      <c r="C210" s="550"/>
      <c r="D210" s="550"/>
      <c r="E210" s="550"/>
      <c r="F210" s="550"/>
      <c r="G210" s="550"/>
      <c r="H210" s="550"/>
      <c r="I210" s="550"/>
      <c r="J210" s="550"/>
      <c r="K210" s="550"/>
      <c r="L210" s="550"/>
    </row>
    <row r="211" spans="2:12">
      <c r="B211" s="550"/>
      <c r="C211" s="550"/>
      <c r="D211" s="550"/>
      <c r="E211" s="550"/>
      <c r="F211" s="550"/>
      <c r="G211" s="550"/>
      <c r="H211" s="550"/>
      <c r="I211" s="550"/>
      <c r="J211" s="550"/>
      <c r="K211" s="550"/>
      <c r="L211" s="550"/>
    </row>
    <row r="212" spans="2:12">
      <c r="B212" s="550"/>
      <c r="C212" s="550"/>
      <c r="D212" s="550"/>
      <c r="E212" s="550"/>
      <c r="F212" s="550"/>
      <c r="G212" s="550"/>
      <c r="H212" s="550"/>
      <c r="I212" s="550"/>
      <c r="J212" s="550"/>
      <c r="K212" s="550"/>
      <c r="L212" s="550"/>
    </row>
    <row r="213" spans="2:12">
      <c r="B213" s="550"/>
      <c r="C213" s="550"/>
      <c r="D213" s="550"/>
      <c r="E213" s="550"/>
      <c r="F213" s="550"/>
      <c r="G213" s="550"/>
      <c r="H213" s="550"/>
      <c r="I213" s="550"/>
      <c r="J213" s="550"/>
      <c r="K213" s="550"/>
      <c r="L213" s="550"/>
    </row>
  </sheetData>
  <sheetProtection algorithmName="SHA-512" hashValue="tyKVi/RaJCIzVmJPlBhBS21LXWodojcS1ESN+6TSOXrbl9DnAtfVU9fRkQgBBESlK2GaeXMSsgHZwhAMzrp5RQ==" saltValue="6TnvrIznibUvNAdXVDf85Q==" spinCount="100000" sheet="1" objects="1" scenarios="1"/>
  <mergeCells count="55">
    <mergeCell ref="P40:T41"/>
    <mergeCell ref="A1:A3"/>
    <mergeCell ref="B1:L1"/>
    <mergeCell ref="B2:D2"/>
    <mergeCell ref="F2:H2"/>
    <mergeCell ref="J2:L2"/>
    <mergeCell ref="P3:W3"/>
    <mergeCell ref="B4:L4"/>
    <mergeCell ref="A5:A7"/>
    <mergeCell ref="B8:L8"/>
    <mergeCell ref="A9:A18"/>
    <mergeCell ref="B9:L9"/>
    <mergeCell ref="P11:S11"/>
    <mergeCell ref="R13:S13"/>
    <mergeCell ref="R14:S14"/>
    <mergeCell ref="N15:N16"/>
    <mergeCell ref="N17:N18"/>
    <mergeCell ref="B19:L19"/>
    <mergeCell ref="A20:A27"/>
    <mergeCell ref="B20:L20"/>
    <mergeCell ref="B28:L28"/>
    <mergeCell ref="P19:R19"/>
    <mergeCell ref="P20:R20"/>
    <mergeCell ref="P27:T30"/>
    <mergeCell ref="A29:A37"/>
    <mergeCell ref="B29:L29"/>
    <mergeCell ref="B36:D36"/>
    <mergeCell ref="F36:H36"/>
    <mergeCell ref="J36:L36"/>
    <mergeCell ref="P32:T33"/>
    <mergeCell ref="B38:L38"/>
    <mergeCell ref="A39:A43"/>
    <mergeCell ref="B39:L39"/>
    <mergeCell ref="N42:N43"/>
    <mergeCell ref="B44:L44"/>
    <mergeCell ref="A45:A48"/>
    <mergeCell ref="B45:L45"/>
    <mergeCell ref="B46:C46"/>
    <mergeCell ref="F46:G46"/>
    <mergeCell ref="J46:K46"/>
    <mergeCell ref="B47:C47"/>
    <mergeCell ref="F47:G47"/>
    <mergeCell ref="J47:K47"/>
    <mergeCell ref="B49:L49"/>
    <mergeCell ref="A50:A51"/>
    <mergeCell ref="B50:L50"/>
    <mergeCell ref="J72:L72"/>
    <mergeCell ref="B74:L74"/>
    <mergeCell ref="B52:D52"/>
    <mergeCell ref="F52:H52"/>
    <mergeCell ref="J52:L52"/>
    <mergeCell ref="A61:A62"/>
    <mergeCell ref="B62:D62"/>
    <mergeCell ref="F62:H62"/>
    <mergeCell ref="J62:L62"/>
  </mergeCells>
  <hyperlinks>
    <hyperlink ref="P3" r:id="rId1" xr:uid="{AB41103D-668D-47D6-8322-C55371941389}"/>
    <hyperlink ref="P4" r:id="rId2" xr:uid="{10232F55-8089-4E0C-B422-1EE582B40CC0}"/>
    <hyperlink ref="P7" r:id="rId3" xr:uid="{CB6C96DC-C182-4EDA-810F-B858DA102512}"/>
    <hyperlink ref="P9" r:id="rId4" xr:uid="{6AF0CC3F-E1F0-4302-B69C-023CB335D48B}"/>
    <hyperlink ref="P37" r:id="rId5" xr:uid="{94C3349E-60D2-46FE-9BDF-BC7A12A5044A}"/>
    <hyperlink ref="P36" r:id="rId6" xr:uid="{B7C89691-2825-43BB-BD9A-D11982FD068B}"/>
  </hyperlinks>
  <printOptions horizontalCentered="1"/>
  <pageMargins left="0.7" right="0.7" top="0.5" bottom="0.5" header="0.3" footer="0.3"/>
  <pageSetup scale="57" orientation="portrait" horizontalDpi="4294967294" verticalDpi="4294967294" r:id="rId7"/>
  <colBreaks count="1" manualBreakCount="1">
    <brk id="12" max="1048575" man="1"/>
  </colBreaks>
  <drawing r:id="rId8"/>
  <extLst>
    <ext xmlns:x14="http://schemas.microsoft.com/office/spreadsheetml/2009/9/main" uri="{CCE6A557-97BC-4b89-ADB6-D9C93CAAB3DF}">
      <x14:dataValidations xmlns:xm="http://schemas.microsoft.com/office/excel/2006/main" count="2">
        <x14:dataValidation type="list" allowBlank="1" showInputMessage="1" showErrorMessage="1" xr:uid="{A4A2985B-B6E7-4CDC-8ED9-CE76AE74F85F}">
          <x14:formula1>
            <xm:f>'Manure and Nutrient Credits'!$A$3:$A$16</xm:f>
          </x14:formula1>
          <xm:sqref>B47:C47 F47:G47 J47:K47</xm:sqref>
        </x14:dataValidation>
        <x14:dataValidation type="list" allowBlank="1" showInputMessage="1" showErrorMessage="1" xr:uid="{D31CA65C-76C3-488E-8DAA-AEA47FA22C2E}">
          <x14:formula1>
            <xm:f>'Manure and Nutrient Credits'!$A$26:$A$30</xm:f>
          </x14:formula1>
          <xm:sqref>D35 H35 L35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72B0D-601E-4D2C-8216-E6CE44827023}">
  <dimension ref="A3:L44"/>
  <sheetViews>
    <sheetView workbookViewId="0">
      <selection activeCell="G40" sqref="G40"/>
    </sheetView>
  </sheetViews>
  <sheetFormatPr defaultColWidth="8.85546875" defaultRowHeight="15"/>
  <cols>
    <col min="1" max="1" width="18.42578125" bestFit="1" customWidth="1"/>
    <col min="6" max="6" width="11.42578125" bestFit="1" customWidth="1"/>
    <col min="7" max="7" width="10.140625" bestFit="1" customWidth="1"/>
  </cols>
  <sheetData>
    <row r="3" spans="1:12">
      <c r="A3" t="s">
        <v>718</v>
      </c>
      <c r="B3">
        <v>0</v>
      </c>
      <c r="L3" t="s">
        <v>719</v>
      </c>
    </row>
    <row r="4" spans="1:12">
      <c r="A4" t="s">
        <v>720</v>
      </c>
      <c r="B4">
        <v>40</v>
      </c>
      <c r="L4" t="s">
        <v>721</v>
      </c>
    </row>
    <row r="5" spans="1:12">
      <c r="A5" t="s">
        <v>722</v>
      </c>
      <c r="B5">
        <v>40</v>
      </c>
      <c r="L5" t="s">
        <v>723</v>
      </c>
    </row>
    <row r="6" spans="1:12">
      <c r="A6" t="s">
        <v>724</v>
      </c>
      <c r="B6">
        <v>40</v>
      </c>
    </row>
    <row r="7" spans="1:12">
      <c r="A7" t="s">
        <v>725</v>
      </c>
      <c r="B7">
        <v>20</v>
      </c>
    </row>
    <row r="8" spans="1:12">
      <c r="A8" t="s">
        <v>726</v>
      </c>
      <c r="B8">
        <v>40</v>
      </c>
    </row>
    <row r="9" spans="1:12">
      <c r="A9" t="s">
        <v>727</v>
      </c>
      <c r="B9">
        <v>30</v>
      </c>
    </row>
    <row r="10" spans="1:12">
      <c r="A10" t="s">
        <v>728</v>
      </c>
      <c r="B10">
        <v>30</v>
      </c>
    </row>
    <row r="11" spans="1:12">
      <c r="A11" t="s">
        <v>729</v>
      </c>
      <c r="B11">
        <v>30</v>
      </c>
    </row>
    <row r="12" spans="1:12">
      <c r="A12" t="s">
        <v>730</v>
      </c>
      <c r="B12">
        <v>40</v>
      </c>
    </row>
    <row r="13" spans="1:12">
      <c r="A13" t="s">
        <v>731</v>
      </c>
      <c r="B13">
        <v>40</v>
      </c>
    </row>
    <row r="14" spans="1:12">
      <c r="A14" t="s">
        <v>732</v>
      </c>
      <c r="B14">
        <v>20</v>
      </c>
    </row>
    <row r="15" spans="1:12">
      <c r="A15" t="s">
        <v>132</v>
      </c>
      <c r="B15">
        <v>30</v>
      </c>
    </row>
    <row r="16" spans="1:12">
      <c r="A16" t="s">
        <v>733</v>
      </c>
      <c r="B16">
        <v>40</v>
      </c>
    </row>
    <row r="24" spans="1:8">
      <c r="A24" t="s">
        <v>654</v>
      </c>
    </row>
    <row r="25" spans="1:8">
      <c r="A25" t="s">
        <v>734</v>
      </c>
      <c r="B25" t="s">
        <v>735</v>
      </c>
      <c r="D25" t="s">
        <v>736</v>
      </c>
    </row>
    <row r="26" spans="1:8">
      <c r="A26" s="548" t="s">
        <v>737</v>
      </c>
      <c r="B26">
        <v>1</v>
      </c>
      <c r="D26" t="s">
        <v>41</v>
      </c>
      <c r="E26" t="s">
        <v>2</v>
      </c>
      <c r="F26" t="s">
        <v>3</v>
      </c>
      <c r="G26" t="s">
        <v>4</v>
      </c>
      <c r="H26" t="s">
        <v>5</v>
      </c>
    </row>
    <row r="27" spans="1:8">
      <c r="A27" s="549" t="s">
        <v>738</v>
      </c>
      <c r="B27">
        <v>0.7</v>
      </c>
      <c r="D27">
        <f>VLOOKUP('Nutrient Management'!D35,'Manure and Nutrient Credits'!A26:B30,2,FALSE)</f>
        <v>1</v>
      </c>
      <c r="E27">
        <f>$D$27*'Nutrient Management'!B32</f>
        <v>0</v>
      </c>
      <c r="F27">
        <f>$D$27*'Nutrient Management'!C32</f>
        <v>0</v>
      </c>
      <c r="G27">
        <f>$D$27*'Nutrient Management'!D32</f>
        <v>0</v>
      </c>
      <c r="H27">
        <f>$D$27*'Nutrient Management'!B34</f>
        <v>0</v>
      </c>
    </row>
    <row r="28" spans="1:8">
      <c r="A28" s="549" t="s">
        <v>739</v>
      </c>
      <c r="B28">
        <v>0.4</v>
      </c>
      <c r="D28" t="s">
        <v>740</v>
      </c>
    </row>
    <row r="29" spans="1:8">
      <c r="A29" s="549" t="s">
        <v>741</v>
      </c>
      <c r="B29">
        <v>0.2</v>
      </c>
    </row>
    <row r="30" spans="1:8">
      <c r="A30" s="549" t="s">
        <v>742</v>
      </c>
      <c r="B30">
        <v>0.1</v>
      </c>
      <c r="D30">
        <f>VLOOKUP('Nutrient Management'!H35,'Manure and Nutrient Credits'!A26:B30,2,FALSE)</f>
        <v>1</v>
      </c>
      <c r="E30">
        <f>$D$30*'Nutrient Management'!F32</f>
        <v>0</v>
      </c>
      <c r="F30">
        <f>$D$30*'Nutrient Management'!G32</f>
        <v>0</v>
      </c>
      <c r="G30">
        <f>$D$30*'Nutrient Management'!H32</f>
        <v>0</v>
      </c>
      <c r="H30">
        <f>$D$30*'Nutrient Management'!F34</f>
        <v>0</v>
      </c>
    </row>
    <row r="31" spans="1:8">
      <c r="D31" t="s">
        <v>743</v>
      </c>
    </row>
    <row r="32" spans="1:8">
      <c r="A32" s="549"/>
    </row>
    <row r="33" spans="1:8">
      <c r="A33" s="549"/>
      <c r="D33">
        <f>VLOOKUP('Nutrient Management'!L35,A26:B30,2,FALSE)</f>
        <v>1</v>
      </c>
      <c r="E33">
        <f>$D$33*'Nutrient Management'!J32</f>
        <v>0</v>
      </c>
      <c r="F33">
        <f>$D$33*'Nutrient Management'!K32</f>
        <v>0</v>
      </c>
      <c r="G33">
        <f>$D$33*'Nutrient Management'!L32</f>
        <v>0</v>
      </c>
      <c r="H33">
        <f>$D$33*'Nutrient Management'!J34</f>
        <v>0</v>
      </c>
    </row>
    <row r="34" spans="1:8">
      <c r="A34" s="549"/>
    </row>
    <row r="35" spans="1:8">
      <c r="A35" s="549" t="s">
        <v>744</v>
      </c>
    </row>
    <row r="36" spans="1:8">
      <c r="A36" t="s">
        <v>734</v>
      </c>
      <c r="B36" t="s">
        <v>735</v>
      </c>
      <c r="D36" t="s">
        <v>714</v>
      </c>
    </row>
    <row r="37" spans="1:8">
      <c r="A37" s="548" t="s">
        <v>737</v>
      </c>
      <c r="B37">
        <v>1</v>
      </c>
      <c r="D37" t="s">
        <v>41</v>
      </c>
      <c r="E37" t="s">
        <v>2</v>
      </c>
      <c r="F37" t="s">
        <v>3</v>
      </c>
      <c r="G37" t="s">
        <v>4</v>
      </c>
      <c r="H37" t="s">
        <v>5</v>
      </c>
    </row>
    <row r="38" spans="1:8">
      <c r="A38" s="549" t="s">
        <v>738</v>
      </c>
      <c r="B38">
        <v>0.7</v>
      </c>
      <c r="D38">
        <f>VLOOKUP('Fertilizer Products &amp; Pricing'!V30,A37:B41,2,FALSE)</f>
        <v>1</v>
      </c>
      <c r="E38">
        <f>$D$38*'Fertilizer Products &amp; Pricing'!R30</f>
        <v>0</v>
      </c>
      <c r="F38">
        <f>$D$38*'Fertilizer Products &amp; Pricing'!S30</f>
        <v>0</v>
      </c>
      <c r="G38">
        <f>$D$38*'Fertilizer Products &amp; Pricing'!T30</f>
        <v>0</v>
      </c>
      <c r="H38">
        <f>$D$38*'Fertilizer Products &amp; Pricing'!U30</f>
        <v>0</v>
      </c>
    </row>
    <row r="39" spans="1:8">
      <c r="A39" s="549" t="s">
        <v>739</v>
      </c>
      <c r="B39">
        <v>0.4</v>
      </c>
      <c r="D39" t="s">
        <v>715</v>
      </c>
    </row>
    <row r="40" spans="1:8">
      <c r="A40" s="549" t="s">
        <v>741</v>
      </c>
      <c r="B40">
        <v>0.2</v>
      </c>
    </row>
    <row r="41" spans="1:8">
      <c r="A41" s="549" t="s">
        <v>742</v>
      </c>
      <c r="B41">
        <v>0.1</v>
      </c>
      <c r="D41">
        <f>VLOOKUP('Fertilizer Products &amp; Pricing'!V35,'Manure and Nutrient Credits'!A37:B41,2,FALSE)</f>
        <v>1</v>
      </c>
      <c r="E41">
        <f>$D$41*'Fertilizer Products &amp; Pricing'!R35</f>
        <v>0</v>
      </c>
      <c r="F41">
        <f>$D$41*'Fertilizer Products &amp; Pricing'!S35</f>
        <v>0</v>
      </c>
      <c r="G41">
        <f>$D$41*'Fertilizer Products &amp; Pricing'!T35</f>
        <v>0</v>
      </c>
      <c r="H41">
        <f>$D$41*'Fertilizer Products &amp; Pricing'!U35</f>
        <v>0</v>
      </c>
    </row>
    <row r="43" spans="1:8">
      <c r="A43" s="549"/>
    </row>
    <row r="44" spans="1:8">
      <c r="A44" s="549"/>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8EFC1CEF359648BC0C8AD096DB2D41" ma:contentTypeVersion="12" ma:contentTypeDescription="Create a new document." ma:contentTypeScope="" ma:versionID="4fc0d4c6a28395942ee9929752abb974">
  <xsd:schema xmlns:xsd="http://www.w3.org/2001/XMLSchema" xmlns:xs="http://www.w3.org/2001/XMLSchema" xmlns:p="http://schemas.microsoft.com/office/2006/metadata/properties" xmlns:ns1="http://schemas.microsoft.com/sharepoint/v3" xmlns:ns3="c29a6e96-27cc-4888-9e32-aed5af49d252" targetNamespace="http://schemas.microsoft.com/office/2006/metadata/properties" ma:root="true" ma:fieldsID="f786f1ff3836f4364d3595335fa3a4e9" ns1:_="" ns3:_="">
    <xsd:import namespace="http://schemas.microsoft.com/sharepoint/v3"/>
    <xsd:import namespace="c29a6e96-27cc-4888-9e32-aed5af49d25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1:_ip_UnifiedCompliancePolicyProperties" minOccurs="0"/>
                <xsd:element ref="ns1:_ip_UnifiedCompliancePolicyUIActio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9a6e96-27cc-4888-9e32-aed5af49d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7C0199-B80F-415E-842D-978F468065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29a6e96-27cc-4888-9e32-aed5af49d2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28485F-0BDE-401D-9A6D-37BA29FEEE98}">
  <ds:schemaRefs>
    <ds:schemaRef ds:uri="http://schemas.microsoft.com/office/2006/documentManagement/types"/>
    <ds:schemaRef ds:uri="c29a6e96-27cc-4888-9e32-aed5af49d252"/>
    <ds:schemaRef ds:uri="http://schemas.microsoft.com/sharepoint/v3"/>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6516A999-717B-4BFD-A012-365D266793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Instructions</vt:lpstr>
      <vt:lpstr>Crop Budget (Main)</vt:lpstr>
      <vt:lpstr>Variable &amp; Fixed</vt:lpstr>
      <vt:lpstr>Chart</vt:lpstr>
      <vt:lpstr>Chemical Plan</vt:lpstr>
      <vt:lpstr>Chemical List (Wheat)</vt:lpstr>
      <vt:lpstr>Adjuvant Help Guide</vt:lpstr>
      <vt:lpstr>Nutrient Management</vt:lpstr>
      <vt:lpstr>Manure and Nutrient Credits</vt:lpstr>
      <vt:lpstr>Fertilizer Products &amp; Pricing</vt:lpstr>
      <vt:lpstr>Fertilizer Plan</vt:lpstr>
      <vt:lpstr>Loans &amp; Financing</vt:lpstr>
      <vt:lpstr>Capital &amp; Management</vt:lpstr>
      <vt:lpstr>Gov't Payments</vt:lpstr>
      <vt:lpstr>Optimization</vt:lpstr>
      <vt:lpstr>Chemical List (Alfalfa)</vt:lpstr>
      <vt:lpstr>Chemical List (Grass)</vt:lpstr>
      <vt:lpstr>Chemicals</vt:lpstr>
      <vt:lpstr>Foliars</vt:lpstr>
      <vt:lpstr>Fungicides</vt:lpstr>
      <vt:lpstr>Lime</vt:lpstr>
      <vt:lpstr>Macronutrients</vt:lpstr>
      <vt:lpstr>Micronutrients</vt:lpstr>
      <vt:lpstr>NitrogenStabilizers</vt:lpstr>
      <vt:lpstr>'Capital &amp; Management'!Print_Area</vt:lpstr>
      <vt:lpstr>'Chemical Plan'!Print_Area</vt:lpstr>
      <vt:lpstr>'Crop Budget (Main)'!Print_Area</vt:lpstr>
      <vt:lpstr>'Fertilizer Plan'!Print_Area</vt:lpstr>
      <vt:lpstr>'Fertilizer Products &amp; Pricing'!Print_Area</vt:lpstr>
      <vt:lpstr>Instructions!Print_Area</vt:lpstr>
      <vt:lpstr>'Loans &amp; Financing'!Print_Area</vt:lpstr>
      <vt:lpstr>'Nutrient Management'!Print_Area</vt:lpstr>
    </vt:vector>
  </TitlesOfParts>
  <Company>Michigan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LaPorte, Jonathan P.</dc:creator>
  <cp:lastModifiedBy>LaPorte, Jonathan</cp:lastModifiedBy>
  <cp:lastPrinted>2021-12-21T18:01:56Z</cp:lastPrinted>
  <dcterms:created xsi:type="dcterms:W3CDTF">2018-03-23T14:51:03Z</dcterms:created>
  <dcterms:modified xsi:type="dcterms:W3CDTF">2023-02-01T20:49:59Z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0x010100068EFC1CEF359648BC0C8AD096DB2D41</vt:lpwstr>
  </property>
</Properties>
</file>